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075"/>
  </bookViews>
  <sheets>
    <sheet name="Bevétel 1.melléklet" sheetId="162" r:id="rId1"/>
    <sheet name="Bevétel Önkormányzat 2. " sheetId="99" r:id="rId2"/>
    <sheet name="Bevétel Önk.köt.fel.3." sheetId="145" r:id="rId3"/>
    <sheet name="Bevétel önk.önként váll.4." sheetId="151" r:id="rId4"/>
    <sheet name="Bevétel Polg.Hivatal 5. " sheetId="100" r:id="rId5"/>
    <sheet name="Bev. Polg.Hiv. köt.fel. 6." sheetId="146" r:id="rId6"/>
    <sheet name="Bevétel Könyvtár-Műv.h. 7." sheetId="101" r:id="rId7"/>
    <sheet name="Bev.Könyvt.Műv.h.köt.fel.8." sheetId="119" r:id="rId8"/>
    <sheet name="Támogatás 9." sheetId="58" r:id="rId9"/>
    <sheet name="Kiadások 10. m." sheetId="163" r:id="rId10"/>
    <sheet name="önkormányzat kiadásai 11. " sheetId="159" r:id="rId11"/>
    <sheet name="önk.köt.fel.kiadásai 12." sheetId="147" r:id="rId12"/>
    <sheet name="Önk.önként.váll.fel.kiad.13." sheetId="150" r:id="rId13"/>
    <sheet name="Polg.Hivatal kiadásai 14." sheetId="73" r:id="rId14"/>
    <sheet name="Polg.Hiv.köt.fel.kiad.15.mell." sheetId="140" r:id="rId15"/>
    <sheet name="Könyvtár és Műv.H. kiadásai 16." sheetId="83" r:id="rId16"/>
    <sheet name="Könyvt.és Műv.H.köt.fel.k.17." sheetId="142" r:id="rId17"/>
    <sheet name="Működési kiadások 18." sheetId="72" r:id="rId18"/>
    <sheet name="Felhalmozás 19." sheetId="137" r:id="rId19"/>
    <sheet name="Mérleg 20. m." sheetId="164" r:id="rId20"/>
    <sheet name="Előirányzat felh. 21." sheetId="155" r:id="rId21"/>
    <sheet name="mérleg 22.mell." sheetId="165" r:id="rId22"/>
    <sheet name="Tartalék 23. mell." sheetId="81" r:id="rId23"/>
    <sheet name="Saját bevétel 50% 24.mell." sheetId="166" r:id="rId24"/>
  </sheets>
  <externalReferences>
    <externalReference r:id="rId25"/>
  </externalReferences>
  <definedNames>
    <definedName name="_xlnm.Print_Titles" localSheetId="8">'Támogatás 9.'!$4:$6</definedName>
    <definedName name="_xlnm.Print_Area" localSheetId="5">'Bev. Polg.Hiv. köt.fel. 6.'!$A$1:$J$10</definedName>
    <definedName name="_xlnm.Print_Area" localSheetId="7">Bev.Könyvt.Műv.h.köt.fel.8.!$A$1:$J$11</definedName>
    <definedName name="_xlnm.Print_Area" localSheetId="0">'Bevétel 1.melléklet'!$A$1:$E$46</definedName>
    <definedName name="_xlnm.Print_Area" localSheetId="4">'Bevétel Polg.Hivatal 5. '!$A$1:$J$10</definedName>
    <definedName name="_xlnm.Print_Area" localSheetId="9">'Kiadások 10. m.'!$A$1:$F$28</definedName>
    <definedName name="_xlnm.Print_Area" localSheetId="19">'Mérleg 20. m.'!$A$1:$D$65</definedName>
    <definedName name="_xlnm.Print_Area" localSheetId="21">'mérleg 22.mell.'!$A$1:$E$36</definedName>
    <definedName name="_xlnm.Print_Area" localSheetId="11">'önk.köt.fel.kiadásai 12.'!$A$1:$L$33</definedName>
    <definedName name="_xlnm.Print_Area" localSheetId="10">'önkormányzat kiadásai 11. '!$A$1:$L$35</definedName>
    <definedName name="_xlnm.Print_Area" localSheetId="14">Polg.Hiv.köt.fel.kiad.15.mell.!$A$1:$L$12</definedName>
    <definedName name="_xlnm.Print_Area" localSheetId="13">'Polg.Hivatal kiadásai 14.'!$A$1:$L$12</definedName>
    <definedName name="_xlnm.Print_Area" localSheetId="8">'Támogatás 9.'!$A$4:$H$22</definedName>
    <definedName name="_xlnm.Print_Area" localSheetId="22">'Tartalék 23. mell.'!$A$1:$H$17</definedName>
  </definedNames>
  <calcPr calcId="145621"/>
</workbook>
</file>

<file path=xl/calcChain.xml><?xml version="1.0" encoding="utf-8"?>
<calcChain xmlns="http://schemas.openxmlformats.org/spreadsheetml/2006/main">
  <c r="E8" i="166" l="1"/>
  <c r="F8" i="166" s="1"/>
  <c r="D7" i="166"/>
  <c r="E7" i="166" s="1"/>
  <c r="F7" i="166" s="1"/>
  <c r="C5" i="166"/>
  <c r="D5" i="166" s="1"/>
  <c r="C12" i="166" l="1"/>
  <c r="C13" i="166" s="1"/>
  <c r="C14" i="166" s="1"/>
  <c r="E5" i="166"/>
  <c r="D12" i="166"/>
  <c r="D13" i="166" s="1"/>
  <c r="D14" i="166" s="1"/>
  <c r="F5" i="166" l="1"/>
  <c r="F12" i="166" s="1"/>
  <c r="F13" i="166" s="1"/>
  <c r="F14" i="166" s="1"/>
  <c r="E12" i="166"/>
  <c r="E13" i="166" s="1"/>
  <c r="E14" i="166" s="1"/>
  <c r="H8" i="58" l="1"/>
  <c r="H9" i="58"/>
  <c r="H11" i="58" l="1"/>
  <c r="H16" i="58" s="1"/>
  <c r="E11" i="162" l="1"/>
  <c r="D33" i="137" l="1"/>
  <c r="D31" i="137"/>
  <c r="D28" i="137"/>
  <c r="D47" i="137" l="1"/>
  <c r="D18" i="137"/>
  <c r="D9" i="137"/>
  <c r="D11" i="165"/>
  <c r="D15" i="165"/>
  <c r="D27" i="165"/>
  <c r="B15" i="165"/>
  <c r="B26" i="165"/>
  <c r="B25" i="165"/>
  <c r="B12" i="165"/>
  <c r="C32" i="155"/>
  <c r="L29" i="155"/>
  <c r="E27" i="155"/>
  <c r="D27" i="155"/>
  <c r="G27" i="155"/>
  <c r="H27" i="155"/>
  <c r="C28" i="155"/>
  <c r="N27" i="155"/>
  <c r="M27" i="155"/>
  <c r="L27" i="155"/>
  <c r="K27" i="155"/>
  <c r="J27" i="155"/>
  <c r="I27" i="155"/>
  <c r="F27" i="155"/>
  <c r="C27" i="155"/>
  <c r="M25" i="155"/>
  <c r="N25" i="155" s="1"/>
  <c r="L25" i="155"/>
  <c r="K25" i="155"/>
  <c r="J25" i="155"/>
  <c r="I25" i="155"/>
  <c r="H25" i="155"/>
  <c r="G25" i="155"/>
  <c r="F25" i="155"/>
  <c r="E25" i="155"/>
  <c r="D25" i="155"/>
  <c r="C25" i="155"/>
  <c r="N24" i="155"/>
  <c r="N23" i="155"/>
  <c r="D23" i="155"/>
  <c r="C23" i="155"/>
  <c r="B30" i="155"/>
  <c r="B29" i="155"/>
  <c r="O16" i="155"/>
  <c r="B16" i="155"/>
  <c r="N17" i="155"/>
  <c r="M17" i="155"/>
  <c r="L17" i="155"/>
  <c r="K17" i="155"/>
  <c r="J17" i="155"/>
  <c r="I17" i="155"/>
  <c r="H17" i="155"/>
  <c r="N10" i="155"/>
  <c r="M10" i="155"/>
  <c r="L10" i="155"/>
  <c r="K10" i="155"/>
  <c r="J10" i="155"/>
  <c r="I10" i="155"/>
  <c r="H10" i="155"/>
  <c r="K12" i="155"/>
  <c r="I12" i="155"/>
  <c r="N13" i="155"/>
  <c r="E17" i="155"/>
  <c r="D17" i="155"/>
  <c r="C17" i="155"/>
  <c r="G10" i="155"/>
  <c r="F10" i="155"/>
  <c r="E10" i="155"/>
  <c r="D56" i="164"/>
  <c r="D55" i="164"/>
  <c r="D51" i="164"/>
  <c r="D34" i="164"/>
  <c r="D32" i="164" s="1"/>
  <c r="D12" i="164"/>
  <c r="D9" i="164"/>
  <c r="D14" i="164" l="1"/>
  <c r="C25" i="72"/>
  <c r="D20" i="163" l="1"/>
  <c r="D11" i="163"/>
  <c r="D10" i="163"/>
  <c r="D9" i="163"/>
  <c r="K10" i="142"/>
  <c r="J10" i="142"/>
  <c r="I10" i="142"/>
  <c r="H10" i="142"/>
  <c r="G10" i="142"/>
  <c r="F10" i="142"/>
  <c r="E10" i="142"/>
  <c r="D10" i="142"/>
  <c r="C10" i="142"/>
  <c r="B10" i="142"/>
  <c r="L9" i="142"/>
  <c r="L8" i="142"/>
  <c r="L10" i="142" s="1"/>
  <c r="K12" i="140"/>
  <c r="J12" i="140"/>
  <c r="I12" i="140"/>
  <c r="H12" i="140"/>
  <c r="G12" i="140"/>
  <c r="F12" i="140"/>
  <c r="E12" i="140"/>
  <c r="D12" i="140"/>
  <c r="C12" i="140"/>
  <c r="B12" i="140"/>
  <c r="L11" i="140"/>
  <c r="L10" i="140"/>
  <c r="L12" i="140" s="1"/>
  <c r="C20" i="163"/>
  <c r="C11" i="163"/>
  <c r="C10" i="163"/>
  <c r="C9" i="163"/>
  <c r="B13" i="163"/>
  <c r="C24" i="147"/>
  <c r="L24" i="147"/>
  <c r="B24" i="147"/>
  <c r="B33" i="147" s="1"/>
  <c r="C9" i="150"/>
  <c r="B9" i="150"/>
  <c r="L13" i="150"/>
  <c r="L10" i="150"/>
  <c r="E31" i="147"/>
  <c r="E33" i="147" s="1"/>
  <c r="F12" i="147"/>
  <c r="L12" i="147" s="1"/>
  <c r="K33" i="147"/>
  <c r="J33" i="147"/>
  <c r="I33" i="147"/>
  <c r="H33" i="147"/>
  <c r="G33" i="147"/>
  <c r="D33" i="147"/>
  <c r="L32" i="147"/>
  <c r="L30" i="147"/>
  <c r="L29" i="147"/>
  <c r="L28" i="147"/>
  <c r="L27" i="147"/>
  <c r="L26" i="147"/>
  <c r="L25" i="147"/>
  <c r="L23" i="147"/>
  <c r="L22" i="147"/>
  <c r="L21" i="147"/>
  <c r="L20" i="147"/>
  <c r="L19" i="147"/>
  <c r="L18" i="147"/>
  <c r="L17" i="147"/>
  <c r="L16" i="147"/>
  <c r="L15" i="147"/>
  <c r="L14" i="147"/>
  <c r="L13" i="147"/>
  <c r="L11" i="147"/>
  <c r="L10" i="147"/>
  <c r="L9" i="147"/>
  <c r="F8" i="147"/>
  <c r="L8" i="147" s="1"/>
  <c r="L26" i="159"/>
  <c r="L25" i="159"/>
  <c r="F6" i="159"/>
  <c r="B8" i="162"/>
  <c r="H22" i="58"/>
  <c r="L31" i="147" l="1"/>
  <c r="C33" i="147"/>
  <c r="F33" i="147"/>
  <c r="L33" i="147" l="1"/>
  <c r="H26" i="145" l="1"/>
  <c r="G26" i="145"/>
  <c r="F26" i="145"/>
  <c r="E26" i="145"/>
  <c r="D26" i="145"/>
  <c r="C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I11" i="145"/>
  <c r="J10" i="145"/>
  <c r="J9" i="145"/>
  <c r="J8" i="145"/>
  <c r="J10" i="151"/>
  <c r="J9" i="151"/>
  <c r="J24" i="99"/>
  <c r="J23" i="99"/>
  <c r="H20" i="58" l="1"/>
  <c r="H21" i="58" s="1"/>
  <c r="H19" i="58"/>
  <c r="H7" i="58" s="1"/>
  <c r="I11" i="119" l="1"/>
  <c r="H11" i="119"/>
  <c r="G11" i="119"/>
  <c r="F11" i="119"/>
  <c r="E11" i="119"/>
  <c r="D11" i="119"/>
  <c r="C11" i="119"/>
  <c r="B11" i="119"/>
  <c r="J11" i="119" s="1"/>
  <c r="J10" i="119"/>
  <c r="J9" i="119"/>
  <c r="J8" i="119"/>
  <c r="I10" i="146"/>
  <c r="H10" i="146"/>
  <c r="G10" i="146"/>
  <c r="F10" i="146"/>
  <c r="E10" i="146"/>
  <c r="D10" i="146"/>
  <c r="C10" i="146"/>
  <c r="B10" i="146"/>
  <c r="J9" i="146"/>
  <c r="J8" i="146"/>
  <c r="J10" i="146" s="1"/>
  <c r="O29" i="155" l="1"/>
  <c r="F22" i="72"/>
  <c r="F21" i="72"/>
  <c r="B23" i="163"/>
  <c r="C12" i="73" l="1"/>
  <c r="D12" i="73"/>
  <c r="E12" i="73"/>
  <c r="F12" i="73"/>
  <c r="G12" i="73"/>
  <c r="H12" i="73"/>
  <c r="I12" i="73"/>
  <c r="J12" i="73"/>
  <c r="K12" i="73"/>
  <c r="B12" i="73"/>
  <c r="B16" i="163" l="1"/>
  <c r="L28" i="159"/>
  <c r="I11" i="99" l="1"/>
  <c r="C11" i="101" l="1"/>
  <c r="D11" i="101"/>
  <c r="F11" i="101"/>
  <c r="G11" i="101"/>
  <c r="H11" i="101"/>
  <c r="I11" i="101"/>
  <c r="B11" i="101"/>
  <c r="J8" i="101"/>
  <c r="I10" i="100"/>
  <c r="H10" i="100"/>
  <c r="G10" i="100"/>
  <c r="F10" i="100"/>
  <c r="E10" i="100"/>
  <c r="D10" i="100"/>
  <c r="C10" i="100"/>
  <c r="B10" i="100"/>
  <c r="J9" i="100"/>
  <c r="J8" i="100"/>
  <c r="J10" i="100" s="1"/>
  <c r="D11" i="164" l="1"/>
  <c r="B14" i="163" l="1"/>
  <c r="D25" i="165" l="1"/>
  <c r="D22" i="164" l="1"/>
  <c r="D24" i="164"/>
  <c r="D26" i="164"/>
  <c r="C32" i="72"/>
  <c r="C31" i="72"/>
  <c r="C18" i="163"/>
  <c r="D18" i="163"/>
  <c r="B17" i="163"/>
  <c r="F31" i="72" l="1"/>
  <c r="B16" i="165"/>
  <c r="D60" i="164"/>
  <c r="D23" i="164"/>
  <c r="D24" i="163"/>
  <c r="C24" i="163"/>
  <c r="C27" i="163" s="1"/>
  <c r="E23" i="163"/>
  <c r="E22" i="163"/>
  <c r="D57" i="164" s="1"/>
  <c r="E17" i="163"/>
  <c r="D61" i="164" s="1"/>
  <c r="E14" i="163"/>
  <c r="E46" i="162"/>
  <c r="D40" i="164" s="1"/>
  <c r="E45" i="162"/>
  <c r="D39" i="164" s="1"/>
  <c r="D16" i="165" s="1"/>
  <c r="E44" i="162"/>
  <c r="E43" i="162"/>
  <c r="D28" i="165" s="1"/>
  <c r="E42" i="162"/>
  <c r="D41" i="162"/>
  <c r="C41" i="162"/>
  <c r="B41" i="162"/>
  <c r="E40" i="162"/>
  <c r="E39" i="162"/>
  <c r="D38" i="162"/>
  <c r="C38" i="162"/>
  <c r="B38" i="162"/>
  <c r="E33" i="162"/>
  <c r="E32" i="162"/>
  <c r="D31" i="162"/>
  <c r="C31" i="162"/>
  <c r="E30" i="162"/>
  <c r="D31" i="164" s="1"/>
  <c r="E29" i="162"/>
  <c r="D30" i="164" s="1"/>
  <c r="E28" i="162"/>
  <c r="D29" i="164" s="1"/>
  <c r="E27" i="162"/>
  <c r="E26" i="162"/>
  <c r="E25" i="162"/>
  <c r="D24" i="162"/>
  <c r="D21" i="162" s="1"/>
  <c r="C24" i="162"/>
  <c r="C21" i="162" s="1"/>
  <c r="B24" i="162"/>
  <c r="B21" i="162" s="1"/>
  <c r="E23" i="162"/>
  <c r="E20" i="162"/>
  <c r="D19" i="164" s="1"/>
  <c r="E19" i="162"/>
  <c r="D18" i="164" s="1"/>
  <c r="D18" i="162"/>
  <c r="C18" i="162"/>
  <c r="B18" i="162"/>
  <c r="E17" i="162"/>
  <c r="E16" i="162"/>
  <c r="E15" i="162"/>
  <c r="E14" i="162"/>
  <c r="E13" i="162"/>
  <c r="E12" i="162"/>
  <c r="D10" i="164" s="1"/>
  <c r="E10" i="162"/>
  <c r="E9" i="162"/>
  <c r="D8" i="164" s="1"/>
  <c r="D7" i="164" s="1"/>
  <c r="D8" i="162"/>
  <c r="D7" i="162" s="1"/>
  <c r="C8" i="162"/>
  <c r="C7" i="162" s="1"/>
  <c r="B11" i="145"/>
  <c r="I12" i="99" l="1"/>
  <c r="I12" i="145"/>
  <c r="J11" i="145"/>
  <c r="B26" i="145"/>
  <c r="D59" i="164"/>
  <c r="D6" i="164"/>
  <c r="B10" i="155" s="1"/>
  <c r="D14" i="165"/>
  <c r="D13" i="165" s="1"/>
  <c r="D24" i="165"/>
  <c r="B14" i="155"/>
  <c r="B15" i="155"/>
  <c r="D12" i="165"/>
  <c r="D17" i="164"/>
  <c r="B11" i="155" s="1"/>
  <c r="C34" i="162"/>
  <c r="C37" i="162"/>
  <c r="C36" i="162" s="1"/>
  <c r="B13" i="155"/>
  <c r="B7" i="162"/>
  <c r="B34" i="162" s="1"/>
  <c r="B11" i="99"/>
  <c r="E16" i="163"/>
  <c r="B15" i="163"/>
  <c r="E15" i="163" s="1"/>
  <c r="B32" i="155" s="1"/>
  <c r="D37" i="162"/>
  <c r="D36" i="162" s="1"/>
  <c r="B28" i="165"/>
  <c r="B33" i="155"/>
  <c r="D62" i="164"/>
  <c r="E41" i="162"/>
  <c r="D38" i="164" s="1"/>
  <c r="B37" i="162"/>
  <c r="B36" i="162" s="1"/>
  <c r="E31" i="162"/>
  <c r="E18" i="162"/>
  <c r="E21" i="162"/>
  <c r="D20" i="164"/>
  <c r="D10" i="165" s="1"/>
  <c r="D27" i="163"/>
  <c r="D34" i="162"/>
  <c r="E24" i="162"/>
  <c r="E8" i="162"/>
  <c r="E38" i="162"/>
  <c r="D37" i="164" s="1"/>
  <c r="D26" i="165" s="1"/>
  <c r="D58" i="164" l="1"/>
  <c r="J12" i="145"/>
  <c r="J26" i="145" s="1"/>
  <c r="I26" i="145"/>
  <c r="D9" i="165"/>
  <c r="D17" i="165" s="1"/>
  <c r="D36" i="164"/>
  <c r="B17" i="155" s="1"/>
  <c r="D21" i="165"/>
  <c r="D29" i="165" s="1"/>
  <c r="E7" i="162"/>
  <c r="E34" i="162"/>
  <c r="E37" i="162"/>
  <c r="E36" i="162" s="1"/>
  <c r="D35" i="164"/>
  <c r="B12" i="155"/>
  <c r="D65" i="164" l="1"/>
  <c r="D31" i="165"/>
  <c r="C9" i="72" l="1"/>
  <c r="K35" i="159" l="1"/>
  <c r="J35" i="159"/>
  <c r="I35" i="159"/>
  <c r="B21" i="163" s="1"/>
  <c r="E21" i="163" s="1"/>
  <c r="H35" i="159"/>
  <c r="B20" i="163" s="1"/>
  <c r="G35" i="159"/>
  <c r="C28" i="72" s="1"/>
  <c r="C15" i="72" s="1"/>
  <c r="F35" i="159"/>
  <c r="E35" i="159"/>
  <c r="B12" i="163" s="1"/>
  <c r="E12" i="163" s="1"/>
  <c r="D35" i="159"/>
  <c r="C35" i="159"/>
  <c r="B35" i="159"/>
  <c r="B9" i="163" s="1"/>
  <c r="L34" i="159"/>
  <c r="L33" i="159"/>
  <c r="L32" i="159"/>
  <c r="L31" i="159"/>
  <c r="L30" i="159"/>
  <c r="L29" i="159"/>
  <c r="L27" i="159"/>
  <c r="L24" i="159"/>
  <c r="L23" i="159"/>
  <c r="L22" i="159"/>
  <c r="L21" i="159"/>
  <c r="L20" i="159"/>
  <c r="L19" i="159"/>
  <c r="L18" i="159"/>
  <c r="L17" i="159"/>
  <c r="L16" i="159"/>
  <c r="L15" i="159"/>
  <c r="L14" i="159"/>
  <c r="L13" i="159"/>
  <c r="L12" i="159"/>
  <c r="L11" i="159"/>
  <c r="L10" i="159"/>
  <c r="L9" i="159"/>
  <c r="L8" i="159"/>
  <c r="L7" i="159"/>
  <c r="L6" i="159"/>
  <c r="D54" i="164" l="1"/>
  <c r="D53" i="164" s="1"/>
  <c r="B14" i="165"/>
  <c r="B28" i="155"/>
  <c r="E13" i="163"/>
  <c r="B11" i="163"/>
  <c r="E11" i="163" s="1"/>
  <c r="B10" i="163"/>
  <c r="E10" i="163" s="1"/>
  <c r="E9" i="163"/>
  <c r="E20" i="163"/>
  <c r="B24" i="163"/>
  <c r="E24" i="163" s="1"/>
  <c r="C14" i="72"/>
  <c r="C12" i="72"/>
  <c r="C13" i="72"/>
  <c r="L35" i="159"/>
  <c r="D52" i="164" l="1"/>
  <c r="B13" i="165"/>
  <c r="E18" i="163"/>
  <c r="E27" i="163" s="1"/>
  <c r="B18" i="163"/>
  <c r="B27" i="163" s="1"/>
  <c r="O14" i="155" l="1"/>
  <c r="J17" i="99"/>
  <c r="J12" i="99"/>
  <c r="F23" i="72" l="1"/>
  <c r="O11" i="155" l="1"/>
  <c r="O12" i="155"/>
  <c r="O13" i="155"/>
  <c r="O15" i="155"/>
  <c r="O17" i="155"/>
  <c r="M34" i="155" l="1"/>
  <c r="L34" i="155"/>
  <c r="K34" i="155"/>
  <c r="J34" i="155"/>
  <c r="I34" i="155"/>
  <c r="H34" i="155"/>
  <c r="G34" i="155"/>
  <c r="F34" i="155"/>
  <c r="E34" i="155"/>
  <c r="O33" i="155"/>
  <c r="O31" i="155"/>
  <c r="O30" i="155"/>
  <c r="O28" i="155"/>
  <c r="N18" i="155"/>
  <c r="M18" i="155"/>
  <c r="L18" i="155"/>
  <c r="K18" i="155"/>
  <c r="J18" i="155"/>
  <c r="I18" i="155"/>
  <c r="H18" i="155"/>
  <c r="G18" i="155"/>
  <c r="F18" i="155"/>
  <c r="E18" i="155"/>
  <c r="D18" i="155"/>
  <c r="O10" i="155"/>
  <c r="C18" i="155" l="1"/>
  <c r="O18" i="155"/>
  <c r="C29" i="72" l="1"/>
  <c r="B27" i="155" l="1"/>
  <c r="O27" i="155" s="1"/>
  <c r="D12" i="72" l="1"/>
  <c r="D13" i="72"/>
  <c r="L11" i="73" l="1"/>
  <c r="C12" i="151" l="1"/>
  <c r="D12" i="151"/>
  <c r="E12" i="151"/>
  <c r="F12" i="151"/>
  <c r="G12" i="151"/>
  <c r="H12" i="151"/>
  <c r="I12" i="151"/>
  <c r="B12" i="151"/>
  <c r="J11" i="151" l="1"/>
  <c r="L14" i="150" l="1"/>
  <c r="F32" i="72" l="1"/>
  <c r="F30" i="72"/>
  <c r="F18" i="72"/>
  <c r="F17" i="72"/>
  <c r="D7" i="72"/>
  <c r="E7" i="72"/>
  <c r="C7" i="72"/>
  <c r="C33" i="72" s="1"/>
  <c r="J8" i="99" l="1"/>
  <c r="J10" i="99" l="1"/>
  <c r="B29" i="165" l="1"/>
  <c r="F20" i="165" s="1"/>
  <c r="C29" i="99" l="1"/>
  <c r="D29" i="99"/>
  <c r="E29" i="99"/>
  <c r="F29" i="99"/>
  <c r="G29" i="99"/>
  <c r="H29" i="99"/>
  <c r="I29" i="99"/>
  <c r="J26" i="99"/>
  <c r="J19" i="99"/>
  <c r="J13" i="99"/>
  <c r="F11" i="72" l="1"/>
  <c r="L11" i="150" l="1"/>
  <c r="J8" i="151" l="1"/>
  <c r="J12" i="151" s="1"/>
  <c r="K15" i="150"/>
  <c r="J15" i="150"/>
  <c r="I15" i="150"/>
  <c r="H15" i="150"/>
  <c r="G15" i="150"/>
  <c r="F15" i="150"/>
  <c r="E15" i="150"/>
  <c r="D15" i="150"/>
  <c r="C15" i="150"/>
  <c r="B15" i="150"/>
  <c r="L12" i="150"/>
  <c r="L9" i="150"/>
  <c r="L8" i="150"/>
  <c r="L15" i="150" l="1"/>
  <c r="F25" i="72" l="1"/>
  <c r="J27" i="99" l="1"/>
  <c r="J21" i="99" l="1"/>
  <c r="J22" i="99"/>
  <c r="J16" i="99"/>
  <c r="L10" i="73" l="1"/>
  <c r="L12" i="73" s="1"/>
  <c r="B29" i="99" l="1"/>
  <c r="L8" i="83" l="1"/>
  <c r="L9" i="83"/>
  <c r="J9" i="99"/>
  <c r="J11" i="99"/>
  <c r="J14" i="99"/>
  <c r="J15" i="99"/>
  <c r="J18" i="99"/>
  <c r="J20" i="99"/>
  <c r="J25" i="99"/>
  <c r="J28" i="99"/>
  <c r="D15" i="72"/>
  <c r="E15" i="72"/>
  <c r="F28" i="72"/>
  <c r="H13" i="81" s="1"/>
  <c r="F24" i="72"/>
  <c r="F26" i="72"/>
  <c r="F14" i="72"/>
  <c r="B26" i="155" s="1"/>
  <c r="O26" i="155" s="1"/>
  <c r="F8" i="72"/>
  <c r="D47" i="164" s="1"/>
  <c r="F9" i="72"/>
  <c r="F10" i="72"/>
  <c r="D48" i="164" s="1"/>
  <c r="F16" i="72"/>
  <c r="F19" i="72"/>
  <c r="F20" i="72"/>
  <c r="F27" i="72"/>
  <c r="D29" i="72"/>
  <c r="E29" i="72"/>
  <c r="C10" i="83"/>
  <c r="E12" i="72" s="1"/>
  <c r="F12" i="72" s="1"/>
  <c r="D10" i="83"/>
  <c r="E13" i="72" s="1"/>
  <c r="F13" i="72" s="1"/>
  <c r="E10" i="83"/>
  <c r="F10" i="83"/>
  <c r="G10" i="83"/>
  <c r="H10" i="83"/>
  <c r="I10" i="83"/>
  <c r="J10" i="83"/>
  <c r="K10" i="83"/>
  <c r="B10" i="83"/>
  <c r="J9" i="101"/>
  <c r="J10" i="101" l="1"/>
  <c r="E11" i="101"/>
  <c r="J11" i="101" s="1"/>
  <c r="B10" i="165"/>
  <c r="D49" i="164"/>
  <c r="B11" i="165"/>
  <c r="D50" i="164"/>
  <c r="D46" i="164"/>
  <c r="B25" i="155"/>
  <c r="O25" i="155" s="1"/>
  <c r="O32" i="155"/>
  <c r="B24" i="155"/>
  <c r="J29" i="99"/>
  <c r="E33" i="72"/>
  <c r="F15" i="72"/>
  <c r="F7" i="72"/>
  <c r="B9" i="165" s="1"/>
  <c r="L10" i="83"/>
  <c r="D33" i="72"/>
  <c r="F29" i="72"/>
  <c r="D63" i="164" l="1"/>
  <c r="D64" i="164" s="1"/>
  <c r="B17" i="165"/>
  <c r="B31" i="165" s="1"/>
  <c r="B23" i="155"/>
  <c r="O24" i="155"/>
  <c r="F33" i="72"/>
  <c r="B18" i="155" l="1"/>
  <c r="D34" i="155"/>
  <c r="B34" i="155"/>
  <c r="N34" i="155" l="1"/>
  <c r="C34" i="155"/>
  <c r="O23" i="155" l="1"/>
  <c r="O34" i="155" l="1"/>
</calcChain>
</file>

<file path=xl/sharedStrings.xml><?xml version="1.0" encoding="utf-8"?>
<sst xmlns="http://schemas.openxmlformats.org/spreadsheetml/2006/main" count="931" uniqueCount="393">
  <si>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</si>
  <si>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</si>
  <si>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</si>
  <si>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</si>
  <si>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</si>
  <si>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</si>
  <si>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</si>
  <si>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</si>
  <si>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</si>
  <si>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</si>
  <si>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</si>
  <si>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</si>
  <si>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</si>
  <si>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</si>
  <si>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</si>
  <si>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</si>
  <si>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</si>
  <si>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</si>
  <si>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</si>
  <si>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</si>
  <si>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</si>
  <si>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</si>
  <si>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</si>
  <si>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</si>
  <si>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</si>
  <si>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</si>
  <si>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</si>
  <si>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</si>
  <si>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</si>
  <si>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</si>
  <si>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</si>
  <si>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</si>
  <si>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</si>
  <si>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</si>
  <si>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</si>
  <si>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</si>
  <si>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</si>
  <si>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</si>
  <si>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</si>
  <si>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</si>
  <si>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</si>
  <si>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</si>
  <si>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</si>
  <si>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</si>
  <si>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</si>
  <si>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</si>
  <si>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</si>
  <si>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</si>
  <si>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</si>
  <si>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</si>
  <si>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</si>
  <si>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</si>
  <si>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</si>
  <si>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</si>
  <si>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</si>
  <si>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</si>
  <si>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</si>
  <si>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</si>
  <si>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</si>
  <si>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</si>
  <si>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</si>
  <si>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</si>
  <si>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</si>
  <si>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25.</t>
  </si>
  <si>
    <t>26.</t>
  </si>
  <si>
    <t>27.</t>
  </si>
  <si>
    <t>Önkormányzati Tűzoltóság</t>
  </si>
  <si>
    <t>Önkormányzati támogatás összesen: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</si>
  <si>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</si>
  <si>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</si>
  <si>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</si>
  <si>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</si>
  <si>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</si>
  <si>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</si>
  <si>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</si>
  <si>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</si>
  <si>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</si>
  <si>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</si>
  <si>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</si>
  <si>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</si>
  <si>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</si>
  <si>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</si>
  <si>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</si>
  <si>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</si>
  <si>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</si>
  <si>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</si>
  <si>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</si>
  <si>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</si>
  <si>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</si>
  <si>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</si>
  <si>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</si>
  <si>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</si>
  <si>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</si>
  <si>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</si>
  <si>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</si>
  <si>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</si>
  <si>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</si>
  <si>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</si>
  <si>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</si>
  <si>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</si>
  <si>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</si>
  <si>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</si>
  <si>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</si>
  <si>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</si>
  <si>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</si>
  <si>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</si>
  <si>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082044 Könyvtári szolgáltatások</t>
  </si>
  <si>
    <t>082091 Közművelődési- közösségi és társadalmi részvétel fejlesztése</t>
  </si>
  <si>
    <t>12 hó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</si>
  <si>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</si>
  <si>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</si>
  <si>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</si>
  <si>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</si>
  <si>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</si>
  <si>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</si>
  <si>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</si>
  <si>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</si>
  <si>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</si>
  <si>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</si>
  <si>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</si>
  <si>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</si>
  <si>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</si>
  <si>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</si>
  <si>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</si>
  <si>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</si>
  <si>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</si>
  <si>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072111 Háziorvosi alapellátás</t>
  </si>
  <si>
    <t>072210 Járóbetegek gyógyító szakellátása</t>
  </si>
  <si>
    <t>107060 Egyéb szociális pénzbeni ellátások, tám-k</t>
  </si>
  <si>
    <t>K2. Munkaadókat terhelő járulékok és szociális hozzájárulási adó</t>
  </si>
  <si>
    <t>K5. Egyéb működési célú kiadások (tartalék nélkül)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</si>
  <si>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</si>
  <si>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</si>
  <si>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</si>
  <si>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</si>
  <si>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</si>
  <si>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</si>
  <si>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</si>
  <si>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</si>
  <si>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</si>
  <si>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</si>
  <si>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</si>
  <si>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Polgárőrség</t>
  </si>
  <si>
    <t>Kormányzati funkció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</si>
  <si>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</si>
  <si>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</si>
  <si>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</si>
  <si>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</si>
  <si>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</si>
  <si>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</si>
  <si>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</si>
  <si>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</si>
  <si>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</si>
  <si>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</si>
  <si>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</si>
  <si>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</si>
  <si>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</si>
  <si>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</si>
  <si>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</si>
  <si>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</si>
  <si>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</si>
  <si>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</si>
  <si>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</si>
  <si>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</si>
  <si>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</si>
  <si>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</si>
  <si>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</si>
  <si>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B8192. Rövid lejáratú kölcsönök bevételei</t>
  </si>
  <si>
    <t>104060 A gyermekek, fiatalok és családok életmin.jav.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</si>
  <si>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</si>
  <si>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</si>
  <si>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</si>
  <si>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</si>
  <si>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</si>
  <si>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</si>
  <si>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</si>
  <si>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</si>
  <si>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</si>
  <si>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</si>
  <si>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</si>
  <si>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</si>
  <si>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</si>
  <si>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Egyéb központi támogatás</t>
  </si>
  <si>
    <t>Pótlékok, bírságok egyéb közhatalmi bevételek</t>
  </si>
  <si>
    <t>B814. Államháztartáson belüli megelőlegezések</t>
  </si>
  <si>
    <t>B.14. Működési célú visszatérítendő támogatások, kölcsönök visszatérülése államháztartáson belülről</t>
  </si>
  <si>
    <t>Fajlagos összeg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</si>
  <si>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</si>
  <si>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</si>
  <si>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</si>
  <si>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</si>
  <si>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</si>
  <si>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</si>
  <si>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</si>
  <si>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</si>
  <si>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084031 Civil szervezetek támogatása</t>
  </si>
  <si>
    <t>B14. Működési célú visszatérítendő támogatások, kölcsönök visszatérülése államháztartáson belülről</t>
  </si>
  <si>
    <t>Működésképtelen önkormányzatok egyéb támogatása</t>
  </si>
  <si>
    <t>Ebből: K914 Államháztartáson belüli megelőlegezések visszafizetése</t>
  </si>
  <si>
    <t>ebből: maradvány igénybevétel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</si>
  <si>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</si>
  <si>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</si>
  <si>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</si>
  <si>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</si>
  <si>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adatok forintban</t>
  </si>
  <si>
    <t>018030 Támogatási célú finanszírozási műveletek</t>
  </si>
  <si>
    <t xml:space="preserve">K513. Tartalék </t>
  </si>
  <si>
    <t>Adójellegű bevételek</t>
  </si>
  <si>
    <t>B31. Magánszemélyek jövedelemadói</t>
  </si>
  <si>
    <t>K513. Tartalékok</t>
  </si>
  <si>
    <t xml:space="preserve"> ebből K914. Államháztartáson belüli megelőlegezések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</si>
  <si>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</si>
  <si>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</si>
  <si>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</si>
  <si>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</si>
  <si>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</si>
  <si>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</si>
  <si>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045120 Út- autópálya építés</t>
  </si>
  <si>
    <t>Kétöklű Szociális Szövetkezet működési támogatása</t>
  </si>
  <si>
    <t>Polgármesteri Hivatal: egyéb tárgyi eszközök beszerzése</t>
  </si>
  <si>
    <t>Polgármesteri Hivatal: informatikai eszközök beszerzése</t>
  </si>
  <si>
    <t>107080 Esélyegyenlőség elősegítését célzó tevékenységek és programok</t>
  </si>
  <si>
    <t xml:space="preserve">Sorszám  </t>
  </si>
  <si>
    <t>B36. Egyéb közhatalmi bevételek (bírság, pótlék, mezőőri díj, talajterhelési díj)</t>
  </si>
  <si>
    <t>K915. Központi irányítószervi támogatás</t>
  </si>
  <si>
    <t>ebből: K914. Államháztartáson belüli megelőlegezések visszafizetése</t>
  </si>
  <si>
    <t>B8112. Rövid lejáratú hitelek, kölcsönök felvétele</t>
  </si>
  <si>
    <t>041233 Hosszabb időtartamú közfoglalkoztatás</t>
  </si>
  <si>
    <t>047120 Piac üzemeltetése</t>
  </si>
  <si>
    <t>107060 Egyéb szociális pénzbeni és természetbeni ellátások</t>
  </si>
  <si>
    <t>Önkormányzati Hivatal működésének támogatása (kiegészítéssel növelt összeg)</t>
  </si>
  <si>
    <t>Egyéb kötelező önkormányzati feladatok támogatása</t>
  </si>
  <si>
    <t>Lakott külterülettel kapcsolatos feladatok támogatása</t>
  </si>
  <si>
    <t xml:space="preserve">Szünidei étkeztetés támogatása </t>
  </si>
  <si>
    <t>Falugondnoki vagy tanyagondnoki szolgáltatás</t>
  </si>
  <si>
    <t>A telpülési önkormányzatok szociális és gyermekjóléti feladatainak támogatása</t>
  </si>
  <si>
    <t>A települési önkormányzatok gyermekétkeztetési feladatainak támogatása</t>
  </si>
  <si>
    <t>A telpülési önkormányzatok működésének általános támogatása</t>
  </si>
  <si>
    <t>Zöldterület-gazdálkodással kapcsolatos feladatok ell.tám.</t>
  </si>
  <si>
    <t>Közvilágítás fenntartásának támogatása</t>
  </si>
  <si>
    <t>Köztemető fenntartásával kapcsolatos feladatok támogatása</t>
  </si>
  <si>
    <t>Közutak fenntartásának támogatása</t>
  </si>
  <si>
    <t>ebből: K9112. Likviditási célú hitelek, kölcsönök törlesztése pénzügyi vállalkozásnak</t>
  </si>
  <si>
    <t>BURSA támogatás</t>
  </si>
  <si>
    <t>Egyeki Sportbarátok Sport Egyesülete támogatása</t>
  </si>
  <si>
    <t>Visszatérítendő krízis támogatás</t>
  </si>
  <si>
    <t>Polgármesteri Hivatal: immateriális javak beszerzése</t>
  </si>
  <si>
    <t>082042</t>
  </si>
  <si>
    <t>Szennyvízközmű vagyon fejlesztése</t>
  </si>
  <si>
    <t>Ivóvízközmű vagyon fejlesztés</t>
  </si>
  <si>
    <t>045120</t>
  </si>
  <si>
    <t xml:space="preserve"> forintban </t>
  </si>
  <si>
    <t>Települési önkormányzatok szociális eladatainak egyéb támogatása</t>
  </si>
  <si>
    <t xml:space="preserve">Települési önkormányzatok kulturális feladatainak támogatása </t>
  </si>
  <si>
    <t xml:space="preserve">2023. Előirányzat 
Önkormányzat </t>
  </si>
  <si>
    <t>K5. Egyéb működési célú kiadások (tartalékkal együtt)</t>
  </si>
  <si>
    <t>072210 Járóbeteg gyógyító szakellátása</t>
  </si>
  <si>
    <t>062020</t>
  </si>
  <si>
    <t>2023. Évi Költségvetési kiadások összesen</t>
  </si>
  <si>
    <t>2023. évi Költségvetési bevételek összesen</t>
  </si>
  <si>
    <t>K512. Tartalék (működési, felhalmozási)</t>
  </si>
  <si>
    <t xml:space="preserve">2024. Előirányzat 
Önkormányzat </t>
  </si>
  <si>
    <t xml:space="preserve">2024. Előirányzat Egyeki Polgármesteri Hivatal </t>
  </si>
  <si>
    <t>2024. Előirányzat Tárkányi Béla Könyvtár és Művelődési Ház</t>
  </si>
  <si>
    <t>2024. évi terv</t>
  </si>
  <si>
    <t>Mozgáskorlátozottak Egyesületének támogatása</t>
  </si>
  <si>
    <t>Látássérültek Egyesületének támogatása</t>
  </si>
  <si>
    <t>Tartalékok</t>
  </si>
  <si>
    <t>Földterület vásárlás (013350): 0934/92 hrsz</t>
  </si>
  <si>
    <t>013320</t>
  </si>
  <si>
    <t>Önkormányzati tulajdonú ingatlanok (bérlakások) felújítása</t>
  </si>
  <si>
    <t>Önkormányzati jogalkotás: informatikai eszköz beszerzés</t>
  </si>
  <si>
    <t>Önkormányzati jogalkotás: egyéb tárgyi eszköz beszerzés</t>
  </si>
  <si>
    <t>042180</t>
  </si>
  <si>
    <t>072111</t>
  </si>
  <si>
    <t>072210</t>
  </si>
  <si>
    <t>Háziorvosi alapellátás: egyéb tárgyi eszköz beszerzés</t>
  </si>
  <si>
    <t>Járóbetegek gyógyító szakellátása: várótermi szék beszerzés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</si>
  <si>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</si>
  <si>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</si>
  <si>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</si>
  <si>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</si>
  <si>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</si>
  <si>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</si>
  <si>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</si>
  <si>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</si>
  <si>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</si>
  <si>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</si>
  <si>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</si>
  <si>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</si>
  <si>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Egyek, Eötvös utca szilárd burkolattal történő ellátása</t>
  </si>
  <si>
    <t>011130 Önk.-k és önk-i hiv-k jogalkotói és ált.ig.tev.</t>
  </si>
  <si>
    <t>018010 Önkormányzatok elszámolásai a központi költségvetéssel</t>
  </si>
  <si>
    <t>032020 Tűz és katasztrófavédelmi tevékenységek</t>
  </si>
  <si>
    <t>042180 Állat-egészségügy ellátás</t>
  </si>
  <si>
    <t>045120 Út, autópálya építése</t>
  </si>
  <si>
    <t>045160 Közutak, hidak, alagutak fenntartása</t>
  </si>
  <si>
    <t>045220 Vízi létesímények építése</t>
  </si>
  <si>
    <t>052020 Szennyvíz gyűjtése, tisztítása, elhelyezése</t>
  </si>
  <si>
    <t>062020 Településfejlesztési projektek és támogatásuk</t>
  </si>
  <si>
    <t>064010 Közvilágítás</t>
  </si>
  <si>
    <t>104037 Intézményen kívüli gyermekétkeztetés</t>
  </si>
  <si>
    <t>106010 Lakóingatlan szociális célú bérbeadás, üzemeltetés</t>
  </si>
  <si>
    <t>107060 Egyéb szoc. pénzbeni és természetbeni ellátások, tám-k</t>
  </si>
  <si>
    <t>900060 Forgatási és befektetési célú finanszírozási műveletek</t>
  </si>
  <si>
    <t xml:space="preserve">ebből: K513 Tartalék </t>
  </si>
  <si>
    <t>B.816 Központi irányítószervi támogatás</t>
  </si>
  <si>
    <t>B115 Működési célú költségvetési támogatások és kiegészítő támogatások</t>
  </si>
  <si>
    <t>B116 Elszámolásból származó bevételek</t>
  </si>
  <si>
    <t>086090 Egyéb szabadidős szolgáltatás</t>
  </si>
  <si>
    <t>066020</t>
  </si>
  <si>
    <t xml:space="preserve">2025. Előirányzat  Egyek Nagyközség Önkormányzata </t>
  </si>
  <si>
    <t xml:space="preserve">2025. Előirányzat 
Egyeki Polgármesteri Hivatal </t>
  </si>
  <si>
    <t>2025. Előirányzat 
Tárkányi Béla Könyvt. És Műv.H.</t>
  </si>
  <si>
    <t>2025. Előirányzat 
Összesen:</t>
  </si>
  <si>
    <t xml:space="preserve">Egyeki Polgármesteri Hivatal 2025. évi tervezett bevételei </t>
  </si>
  <si>
    <t>2025. évi terv</t>
  </si>
  <si>
    <t>Egyeki Polgármesteri Hivatal 2025. évi tervezett kiadásai feladatonként</t>
  </si>
  <si>
    <t>Egyeki Polgármesteri Hivatal 2025. évi tervezett kiadásai kötelező feladatonként</t>
  </si>
  <si>
    <t>Tárkányi Béla Könyvtár és Művelődési Ház 2025. évi tervezett kiadásai feladatonként</t>
  </si>
  <si>
    <t>Tárkányi Béla Könyvtár és Művelődési Ház 2025. évi tervezett kiadásai  kötelező feladatonként</t>
  </si>
  <si>
    <t>Tárkányi Béla Könyvtár és Művelődési Ház 2025. évi tervezett bevételei</t>
  </si>
  <si>
    <t xml:space="preserve">Tárkányi Béla Könyvtár és Művelődési Ház 2025. évi tervezett bevételei kötelező feladatonként </t>
  </si>
  <si>
    <t xml:space="preserve">Egyek Nagyközség Önkormányzatának 2025. évi állami támogatása </t>
  </si>
  <si>
    <t>2025. ÉV</t>
  </si>
  <si>
    <t>Polgármesteri illetményhez és költségtérítéshez nyújtott támogatás</t>
  </si>
  <si>
    <t>B1131. Települési önkormányzatok egyes szociális és gyermekjóléti feladatainak támogatása</t>
  </si>
  <si>
    <t>B1132. Települési önkormányzatok gyermekétkeztetési  feladatainak támogatása</t>
  </si>
  <si>
    <t>Egyek Nagyközség Önkormányzatának 2025. évi bevételei</t>
  </si>
  <si>
    <t>Egyek Nagyközség Önkormányzatának 2025. évre tervezett bevételei kötelező feladatonként</t>
  </si>
  <si>
    <t>Egyek Nagyközség Önkormányzatának 2025. évre tervezett bevételei önként vállalt feladatonként</t>
  </si>
  <si>
    <t>072311 Fogorvosi alapellátás</t>
  </si>
  <si>
    <t>074032 Ifjúság-egészségügyi gondozás</t>
  </si>
  <si>
    <t xml:space="preserve">074032 Ifjúság-egészségügyi gondozás </t>
  </si>
  <si>
    <t>Egyek Nagyközség Önkormányzatának 2025. évi tervezett kiadásai  kötelező feladatonként</t>
  </si>
  <si>
    <t>Egyek Nagyközség Önkormányzatának 2025. évi tervezett kiadásai  önként vállalt feladatonként</t>
  </si>
  <si>
    <t>Egyek Nagyközség Önkormányzat és költségvetési szervei 2025. évi  kiadásai kiemelt előirányzatonként</t>
  </si>
  <si>
    <t>Országos Mentőszolgálat támogatása</t>
  </si>
  <si>
    <t>Egyeki Szöghatár Nonprofit Kft.-nek nyújtott kölcsön</t>
  </si>
  <si>
    <t>Egyek Nagyközség Önkormányzat pénzügyi mérlege: 2025. év</t>
  </si>
  <si>
    <t>Egyeki Szöghatár Nonprofit Kft. Működési támogatása</t>
  </si>
  <si>
    <t>Egyek Nagyközség Önkormányzat és költségvetési szervei 20254. évi működési  kiadásai kiemelt előirányzatonként</t>
  </si>
  <si>
    <t>a 2025.</t>
  </si>
  <si>
    <t>Egyek Nagyközség Önkormányzata működési és felhalmozási célú bevételeinek és kiadásainak 2025. évi előirányzata mérleg rendszerben</t>
  </si>
  <si>
    <t>ebből: központi, irányítószervi támogatás</t>
  </si>
  <si>
    <t>K915 Központi, irányítószervi támogatás</t>
  </si>
  <si>
    <t>2025. évi előirányzat</t>
  </si>
  <si>
    <t xml:space="preserve">Temető fejlesztés </t>
  </si>
  <si>
    <t>Egyeki Étterem fejlesztés (kivetítő kiépítése)</t>
  </si>
  <si>
    <t xml:space="preserve">Közfoglalkoztatási feladatok ellátásához szükséges targonca beszerzés </t>
  </si>
  <si>
    <t>Gyepmesteri telep: kutya kennel besz., egyéb tárgyi eszköz beszerzés</t>
  </si>
  <si>
    <t>Fennmaradási engedélyehez kapcsoló terv készítés</t>
  </si>
  <si>
    <t>Tiszaparti kikötő fejlesztéssel kapcsolatos terv készítés</t>
  </si>
  <si>
    <t>Gépjármű beszerzés</t>
  </si>
  <si>
    <t>Háziorvosi alapellátás: egyéb tárgyi eszköz beszerzésbelső kamerarendszer kiépítése</t>
  </si>
  <si>
    <t>Falugondnoki-,tanyagondnoki szolgálat: egyéb tárgyi eszköz beszerzés</t>
  </si>
  <si>
    <t>Temető ravatalozó épületének tető felújítása</t>
  </si>
  <si>
    <t>082091</t>
  </si>
  <si>
    <t>Közművelődés- közösségi és társadalmi részvétel fejlesztése: Népviseleti ruhák beszerzése</t>
  </si>
  <si>
    <t>011131</t>
  </si>
  <si>
    <t>Önkormányzati jogalkotás: immateriális javak beszerzése</t>
  </si>
  <si>
    <t>Öntözú kút fúrás, terv készítés</t>
  </si>
  <si>
    <t>Önkormányzati tulajdonú ingatlan (Egyek, Széchenyi u. 19.) fejlesztés: terv készítés</t>
  </si>
  <si>
    <t>Önkormányzati tulajdonú ingatlan (Egyek, Fő u. 3.) fejlesztés: parkoló, udvar fejlesztés</t>
  </si>
  <si>
    <t>Egyéb tárgyi eszköz beszerzés</t>
  </si>
  <si>
    <t>041233</t>
  </si>
  <si>
    <t>Hosszabb időtartamú közfoglalkoztatás: egyéb tárgyi eszközök beszerzése</t>
  </si>
  <si>
    <t>Közfoglalkoztatási feladatok ellátásához szükséges informatikai eszköz beszerzés</t>
  </si>
  <si>
    <t>Közfoglalkoztatási mintaprogramok: egyéb tárgyi eszközök (Közfoglalkoztatási pályázat költgségvetése szerint)</t>
  </si>
  <si>
    <t>Közfoglalkoztatási mintaprogramok: felhalmozási kiadások (Közfoglalkoztatási pályázat költgségvetése szerint)</t>
  </si>
  <si>
    <t>Karácsonyi fénydekoráció vásárlás</t>
  </si>
  <si>
    <t>Járóbetegek gyógyító szakellátása: monitor beszerzés</t>
  </si>
  <si>
    <t>Egyek Nagyközség Önkormányzat saját bevételeinek részletezése az adósságot keletkeztető ügyletből származó tárgyévi fizetési kötelezettség megállapításához</t>
  </si>
  <si>
    <t>Adatok forintban</t>
  </si>
  <si>
    <t>Bevételi jogcímek</t>
  </si>
  <si>
    <t>2026. évi előirányzat</t>
  </si>
  <si>
    <t>2027. évi előirányzat</t>
  </si>
  <si>
    <t>2028. évi előirányzat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</si>
  <si>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</si>
  <si>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</si>
  <si>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</si>
  <si>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</si>
  <si>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</si>
  <si>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</si>
  <si>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</si>
  <si>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</si>
  <si>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Adósságot keletkeztető ügyletből származó tárgyévi összes fizetési kötelezettség (tőke+kamat)</t>
  </si>
  <si>
    <t>Egyek Nagyközség Önkormányzat 2025. évi előirányzat-felhasználási ütemterve</t>
  </si>
  <si>
    <t>2025. évi eredeti előirányzat</t>
  </si>
  <si>
    <t>Egyeki Polgármesteri Hivatal 2025. évi tervezett bevételei kötelező feladatonként</t>
  </si>
  <si>
    <t>Egyek Nagyközség Önkormányzatának 2025. évi tervezett kiadásai  feladatonként</t>
  </si>
  <si>
    <t>2054. évi terv</t>
  </si>
  <si>
    <t xml:space="preserve">2025. évi előirányzat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</si>
</sst>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_-* #,##0.0\ _F_t_-;\-* #,##0.0\ _F_t_-;_-* &quot;-&quot;??\ _F_t_-;_-@_-"/>
    <numFmt numFmtId="167" formatCode="###\ ###\ ###\ ###\ ##0.00"/>
  </numFmts>
  <fonts count="8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sz val="9"/>
      <color rgb="FFFF0000"/>
      <name val="Arial CE"/>
      <charset val="238"/>
    </font>
    <font>
      <sz val="11"/>
      <name val="Calibri"/>
      <family val="2"/>
      <charset val="238"/>
    </font>
    <font>
      <i/>
      <sz val="8"/>
      <name val="Arial CE"/>
      <charset val="238"/>
    </font>
    <font>
      <i/>
      <sz val="8"/>
      <color indexed="8"/>
      <name val="Arial CE"/>
      <charset val="238"/>
    </font>
    <font>
      <b/>
      <i/>
      <sz val="8"/>
      <name val="Arial CE"/>
      <charset val="238"/>
    </font>
    <font>
      <sz val="10"/>
      <color rgb="FFFF0000"/>
      <name val="Arial"/>
      <family val="2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b/>
      <i/>
      <sz val="11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b/>
      <sz val="11"/>
      <name val="Times New Roman CE"/>
      <charset val="238"/>
    </font>
    <font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76" fillId="0" borderId="0"/>
  </cellStyleXfs>
  <cellXfs count="763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3" applyNumberFormat="1" applyFont="1" applyFill="1" applyBorder="1" applyAlignment="1" applyProtection="1">
      <alignment horizontal="centerContinuous" vertical="center"/>
    </xf>
    <xf numFmtId="0" fontId="31" fillId="0" borderId="13" xfId="0" applyFont="1" applyBorder="1"/>
    <xf numFmtId="3" fontId="21" fillId="0" borderId="13" xfId="0" applyNumberFormat="1" applyFont="1" applyBorder="1"/>
    <xf numFmtId="0" fontId="15" fillId="0" borderId="14" xfId="3" applyFont="1" applyFill="1" applyBorder="1" applyAlignment="1" applyProtection="1">
      <alignment horizontal="center" vertical="center" wrapText="1"/>
    </xf>
    <xf numFmtId="0" fontId="15" fillId="0" borderId="15" xfId="3" applyFont="1" applyFill="1" applyBorder="1" applyAlignment="1" applyProtection="1">
      <alignment horizontal="center" vertical="center" wrapText="1"/>
    </xf>
    <xf numFmtId="0" fontId="15" fillId="0" borderId="16" xfId="3" applyFont="1" applyFill="1" applyBorder="1" applyAlignment="1" applyProtection="1">
      <alignment horizontal="center" vertical="center" wrapText="1"/>
    </xf>
    <xf numFmtId="0" fontId="15" fillId="0" borderId="17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1"/>
    </xf>
    <xf numFmtId="0" fontId="13" fillId="0" borderId="18" xfId="3" applyFont="1" applyFill="1" applyBorder="1" applyAlignment="1" applyProtection="1">
      <alignment horizontal="left" vertical="center" wrapText="1" indent="1"/>
    </xf>
    <xf numFmtId="0" fontId="13" fillId="0" borderId="13" xfId="3" applyFont="1" applyFill="1" applyBorder="1" applyAlignment="1" applyProtection="1">
      <alignment horizontal="left" vertical="center" wrapText="1" indent="2"/>
    </xf>
    <xf numFmtId="0" fontId="13" fillId="0" borderId="19" xfId="3" applyFont="1" applyFill="1" applyBorder="1" applyAlignment="1" applyProtection="1">
      <alignment horizontal="left" vertical="center" wrapText="1" indent="1"/>
    </xf>
    <xf numFmtId="0" fontId="15" fillId="0" borderId="9" xfId="3" applyFont="1" applyFill="1" applyBorder="1" applyAlignment="1" applyProtection="1">
      <alignment horizontal="left" vertical="center" wrapText="1" indent="1"/>
    </xf>
    <xf numFmtId="164" fontId="15" fillId="0" borderId="7" xfId="3" applyNumberFormat="1" applyFont="1" applyFill="1" applyBorder="1" applyAlignment="1" applyProtection="1">
      <alignment horizontal="centerContinuous" vertical="center"/>
    </xf>
    <xf numFmtId="0" fontId="15" fillId="0" borderId="20" xfId="3" applyFont="1" applyFill="1" applyBorder="1" applyAlignment="1" applyProtection="1">
      <alignment vertical="center" wrapText="1"/>
    </xf>
    <xf numFmtId="0" fontId="13" fillId="0" borderId="21" xfId="3" applyFont="1" applyFill="1" applyBorder="1" applyAlignment="1" applyProtection="1">
      <alignment horizontal="left" vertical="center" wrapText="1" indent="1"/>
    </xf>
    <xf numFmtId="0" fontId="15" fillId="0" borderId="15" xfId="3" applyFont="1" applyFill="1" applyBorder="1" applyAlignment="1" applyProtection="1">
      <alignment vertical="center" wrapText="1"/>
    </xf>
    <xf numFmtId="0" fontId="33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38" fillId="0" borderId="0" xfId="0" applyNumberFormat="1" applyFont="1"/>
    <xf numFmtId="165" fontId="15" fillId="0" borderId="16" xfId="1" applyNumberFormat="1" applyFont="1" applyFill="1" applyBorder="1" applyAlignment="1" applyProtection="1">
      <alignment vertical="center" wrapText="1"/>
    </xf>
    <xf numFmtId="165" fontId="15" fillId="0" borderId="28" xfId="1" applyNumberFormat="1" applyFont="1" applyFill="1" applyBorder="1" applyAlignment="1" applyProtection="1">
      <alignment vertical="center" wrapText="1"/>
    </xf>
    <xf numFmtId="0" fontId="39" fillId="0" borderId="0" xfId="0" applyFont="1"/>
    <xf numFmtId="0" fontId="41" fillId="0" borderId="0" xfId="0" applyFont="1"/>
    <xf numFmtId="0" fontId="15" fillId="0" borderId="27" xfId="3" applyFont="1" applyFill="1" applyBorder="1" applyAlignment="1" applyProtection="1">
      <alignment horizontal="left" vertical="center" wrapText="1" indent="1"/>
    </xf>
    <xf numFmtId="165" fontId="15" fillId="0" borderId="8" xfId="1" applyNumberFormat="1" applyFont="1" applyFill="1" applyBorder="1" applyAlignment="1" applyProtection="1">
      <alignment vertical="center" wrapText="1"/>
    </xf>
    <xf numFmtId="0" fontId="15" fillId="0" borderId="0" xfId="3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 applyProtection="1">
      <alignment horizontal="left" vertical="center"/>
    </xf>
    <xf numFmtId="49" fontId="13" fillId="0" borderId="0" xfId="3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5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5" fontId="5" fillId="0" borderId="0" xfId="1" applyNumberFormat="1" applyFont="1"/>
    <xf numFmtId="165" fontId="0" fillId="0" borderId="0" xfId="0" applyNumberFormat="1"/>
    <xf numFmtId="165" fontId="13" fillId="0" borderId="0" xfId="1" applyNumberFormat="1" applyFont="1"/>
    <xf numFmtId="0" fontId="13" fillId="0" borderId="23" xfId="3" applyFont="1" applyFill="1" applyBorder="1" applyAlignment="1" applyProtection="1">
      <alignment horizontal="left" vertical="center" wrapText="1" indent="2"/>
    </xf>
    <xf numFmtId="0" fontId="7" fillId="0" borderId="8" xfId="0" applyFont="1" applyBorder="1"/>
    <xf numFmtId="0" fontId="15" fillId="2" borderId="8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/>
    <xf numFmtId="0" fontId="7" fillId="0" borderId="0" xfId="0" applyFont="1" applyBorder="1"/>
    <xf numFmtId="0" fontId="8" fillId="0" borderId="9" xfId="0" applyFont="1" applyBorder="1" applyAlignment="1"/>
    <xf numFmtId="0" fontId="0" fillId="0" borderId="0" xfId="0" applyAlignment="1">
      <alignment horizontal="center"/>
    </xf>
    <xf numFmtId="165" fontId="33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35" fillId="2" borderId="0" xfId="0" applyFont="1" applyFill="1"/>
    <xf numFmtId="3" fontId="35" fillId="2" borderId="0" xfId="0" applyNumberFormat="1" applyFont="1" applyFill="1"/>
    <xf numFmtId="0" fontId="15" fillId="0" borderId="3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5" fontId="13" fillId="0" borderId="10" xfId="1" applyNumberFormat="1" applyFont="1" applyBorder="1"/>
    <xf numFmtId="165" fontId="13" fillId="0" borderId="11" xfId="1" applyNumberFormat="1" applyFont="1" applyBorder="1"/>
    <xf numFmtId="165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5" fontId="13" fillId="0" borderId="36" xfId="1" applyNumberFormat="1" applyFont="1" applyBorder="1" applyAlignment="1">
      <alignment horizontal="center"/>
    </xf>
    <xf numFmtId="165" fontId="13" fillId="0" borderId="37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5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5" fontId="13" fillId="0" borderId="1" xfId="1" applyNumberFormat="1" applyFont="1" applyBorder="1" applyAlignment="1">
      <alignment horizontal="center"/>
    </xf>
    <xf numFmtId="3" fontId="5" fillId="0" borderId="0" xfId="0" applyNumberFormat="1" applyFont="1" applyFill="1" applyBorder="1"/>
    <xf numFmtId="165" fontId="13" fillId="0" borderId="38" xfId="1" applyNumberFormat="1" applyFont="1" applyBorder="1"/>
    <xf numFmtId="165" fontId="2" fillId="0" borderId="0" xfId="1" applyNumberFormat="1" applyFont="1"/>
    <xf numFmtId="0" fontId="7" fillId="2" borderId="7" xfId="0" applyFont="1" applyFill="1" applyBorder="1" applyAlignment="1">
      <alignment horizontal="center"/>
    </xf>
    <xf numFmtId="165" fontId="45" fillId="0" borderId="0" xfId="1" applyNumberFormat="1" applyFont="1"/>
    <xf numFmtId="0" fontId="45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/>
    <xf numFmtId="0" fontId="4" fillId="2" borderId="0" xfId="0" applyFont="1" applyFill="1"/>
    <xf numFmtId="165" fontId="16" fillId="0" borderId="8" xfId="1" applyNumberFormat="1" applyFont="1" applyFill="1" applyBorder="1" applyAlignment="1" applyProtection="1">
      <alignment vertical="center" wrapText="1"/>
    </xf>
    <xf numFmtId="0" fontId="13" fillId="0" borderId="9" xfId="3" applyFont="1" applyFill="1" applyBorder="1" applyAlignment="1" applyProtection="1">
      <alignment horizontal="left" vertical="center" wrapText="1"/>
    </xf>
    <xf numFmtId="165" fontId="3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61" fillId="0" borderId="0" xfId="0" applyNumberFormat="1" applyFont="1" applyBorder="1"/>
    <xf numFmtId="0" fontId="62" fillId="0" borderId="0" xfId="0" applyFont="1"/>
    <xf numFmtId="3" fontId="46" fillId="0" borderId="0" xfId="0" applyNumberFormat="1" applyFont="1" applyBorder="1"/>
    <xf numFmtId="3" fontId="47" fillId="2" borderId="4" xfId="0" applyNumberFormat="1" applyFont="1" applyFill="1" applyBorder="1" applyAlignment="1">
      <alignment vertical="center"/>
    </xf>
    <xf numFmtId="3" fontId="48" fillId="0" borderId="0" xfId="0" applyNumberFormat="1" applyFont="1" applyBorder="1"/>
    <xf numFmtId="0" fontId="49" fillId="0" borderId="0" xfId="0" applyFont="1"/>
    <xf numFmtId="165" fontId="15" fillId="0" borderId="8" xfId="1" applyNumberFormat="1" applyFont="1" applyBorder="1"/>
    <xf numFmtId="165" fontId="13" fillId="0" borderId="25" xfId="1" applyNumberFormat="1" applyFont="1" applyBorder="1"/>
    <xf numFmtId="165" fontId="15" fillId="0" borderId="33" xfId="1" applyNumberFormat="1" applyFont="1" applyBorder="1"/>
    <xf numFmtId="165" fontId="15" fillId="0" borderId="4" xfId="1" applyNumberFormat="1" applyFont="1" applyBorder="1"/>
    <xf numFmtId="0" fontId="15" fillId="0" borderId="20" xfId="3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26" fillId="0" borderId="0" xfId="0" applyNumberFormat="1" applyFont="1" applyAlignment="1">
      <alignment vertical="center"/>
    </xf>
    <xf numFmtId="0" fontId="8" fillId="0" borderId="0" xfId="0" applyFont="1" applyAlignment="1">
      <alignment wrapText="1"/>
    </xf>
    <xf numFmtId="165" fontId="13" fillId="0" borderId="0" xfId="1" applyNumberFormat="1" applyFont="1" applyFill="1" applyBorder="1"/>
    <xf numFmtId="164" fontId="13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3" fillId="0" borderId="37" xfId="1" applyNumberFormat="1" applyFont="1" applyFill="1" applyBorder="1" applyAlignment="1">
      <alignment horizontal="center"/>
    </xf>
    <xf numFmtId="165" fontId="13" fillId="0" borderId="36" xfId="1" applyNumberFormat="1" applyFont="1" applyFill="1" applyBorder="1" applyAlignment="1">
      <alignment horizontal="center"/>
    </xf>
    <xf numFmtId="3" fontId="51" fillId="2" borderId="8" xfId="0" applyNumberFormat="1" applyFont="1" applyFill="1" applyBorder="1"/>
    <xf numFmtId="165" fontId="52" fillId="0" borderId="0" xfId="1" applyNumberFormat="1" applyFont="1"/>
    <xf numFmtId="0" fontId="52" fillId="0" borderId="0" xfId="0" applyFont="1"/>
    <xf numFmtId="165" fontId="53" fillId="0" borderId="0" xfId="1" applyNumberFormat="1" applyFont="1"/>
    <xf numFmtId="0" fontId="53" fillId="0" borderId="0" xfId="0" applyFont="1"/>
    <xf numFmtId="165" fontId="39" fillId="0" borderId="0" xfId="1" applyNumberFormat="1" applyFont="1"/>
    <xf numFmtId="0" fontId="0" fillId="0" borderId="0" xfId="0" applyAlignment="1">
      <alignment horizontal="right"/>
    </xf>
    <xf numFmtId="165" fontId="14" fillId="2" borderId="13" xfId="1" applyNumberFormat="1" applyFont="1" applyFill="1" applyBorder="1"/>
    <xf numFmtId="165" fontId="11" fillId="0" borderId="13" xfId="1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165" fontId="13" fillId="0" borderId="8" xfId="1" applyNumberFormat="1" applyFont="1" applyBorder="1" applyAlignment="1">
      <alignment horizontal="center"/>
    </xf>
    <xf numFmtId="0" fontId="54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5" fontId="13" fillId="0" borderId="8" xfId="1" applyNumberFormat="1" applyFont="1" applyBorder="1"/>
    <xf numFmtId="165" fontId="13" fillId="0" borderId="8" xfId="1" applyNumberFormat="1" applyFont="1" applyBorder="1" applyAlignment="1">
      <alignment wrapText="1"/>
    </xf>
    <xf numFmtId="165" fontId="7" fillId="0" borderId="8" xfId="1" applyNumberFormat="1" applyFont="1" applyBorder="1" applyAlignment="1">
      <alignment horizontal="center"/>
    </xf>
    <xf numFmtId="165" fontId="5" fillId="0" borderId="39" xfId="1" applyNumberFormat="1" applyFont="1" applyBorder="1"/>
    <xf numFmtId="0" fontId="5" fillId="0" borderId="23" xfId="0" applyFont="1" applyBorder="1"/>
    <xf numFmtId="165" fontId="5" fillId="0" borderId="30" xfId="1" applyNumberFormat="1" applyFont="1" applyBorder="1"/>
    <xf numFmtId="165" fontId="5" fillId="0" borderId="29" xfId="1" applyNumberFormat="1" applyFont="1" applyBorder="1"/>
    <xf numFmtId="165" fontId="5" fillId="0" borderId="47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8" xfId="0" applyNumberFormat="1" applyFont="1" applyBorder="1" applyAlignment="1">
      <alignment wrapText="1"/>
    </xf>
    <xf numFmtId="165" fontId="5" fillId="0" borderId="40" xfId="1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55" fillId="0" borderId="2" xfId="0" applyNumberFormat="1" applyFont="1" applyFill="1" applyBorder="1" applyAlignment="1">
      <alignment wrapText="1"/>
    </xf>
    <xf numFmtId="3" fontId="28" fillId="0" borderId="15" xfId="0" applyNumberFormat="1" applyFont="1" applyFill="1" applyBorder="1"/>
    <xf numFmtId="3" fontId="55" fillId="0" borderId="18" xfId="0" applyNumberFormat="1" applyFont="1" applyFill="1" applyBorder="1"/>
    <xf numFmtId="3" fontId="55" fillId="2" borderId="18" xfId="0" applyNumberFormat="1" applyFont="1" applyFill="1" applyBorder="1"/>
    <xf numFmtId="3" fontId="55" fillId="0" borderId="13" xfId="0" applyNumberFormat="1" applyFont="1" applyFill="1" applyBorder="1"/>
    <xf numFmtId="3" fontId="55" fillId="2" borderId="13" xfId="0" applyNumberFormat="1" applyFont="1" applyFill="1" applyBorder="1"/>
    <xf numFmtId="3" fontId="56" fillId="0" borderId="21" xfId="0" applyNumberFormat="1" applyFont="1" applyFill="1" applyBorder="1"/>
    <xf numFmtId="3" fontId="56" fillId="2" borderId="21" xfId="0" applyNumberFormat="1" applyFont="1" applyFill="1" applyBorder="1"/>
    <xf numFmtId="3" fontId="28" fillId="0" borderId="21" xfId="0" applyNumberFormat="1" applyFont="1" applyFill="1" applyBorder="1"/>
    <xf numFmtId="3" fontId="55" fillId="0" borderId="21" xfId="0" applyNumberFormat="1" applyFont="1" applyFill="1" applyBorder="1"/>
    <xf numFmtId="3" fontId="55" fillId="2" borderId="21" xfId="0" applyNumberFormat="1" applyFont="1" applyFill="1" applyBorder="1"/>
    <xf numFmtId="3" fontId="57" fillId="0" borderId="13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57" fillId="2" borderId="19" xfId="0" applyNumberFormat="1" applyFont="1" applyFill="1" applyBorder="1"/>
    <xf numFmtId="3" fontId="58" fillId="2" borderId="13" xfId="0" applyNumberFormat="1" applyFont="1" applyFill="1" applyBorder="1"/>
    <xf numFmtId="3" fontId="58" fillId="2" borderId="32" xfId="0" applyNumberFormat="1" applyFont="1" applyFill="1" applyBorder="1"/>
    <xf numFmtId="3" fontId="58" fillId="2" borderId="13" xfId="0" applyNumberFormat="1" applyFont="1" applyFill="1" applyBorder="1" applyAlignment="1">
      <alignment horizontal="right"/>
    </xf>
    <xf numFmtId="3" fontId="56" fillId="2" borderId="32" xfId="0" applyNumberFormat="1" applyFont="1" applyFill="1" applyBorder="1"/>
    <xf numFmtId="3" fontId="55" fillId="2" borderId="8" xfId="0" applyNumberFormat="1" applyFont="1" applyFill="1" applyBorder="1" applyAlignment="1">
      <alignment wrapText="1"/>
    </xf>
    <xf numFmtId="3" fontId="58" fillId="2" borderId="15" xfId="0" applyNumberFormat="1" applyFont="1" applyFill="1" applyBorder="1"/>
    <xf numFmtId="3" fontId="56" fillId="2" borderId="16" xfId="0" applyNumberFormat="1" applyFont="1" applyFill="1" applyBorder="1"/>
    <xf numFmtId="165" fontId="13" fillId="0" borderId="44" xfId="1" applyNumberFormat="1" applyFont="1" applyBorder="1"/>
    <xf numFmtId="165" fontId="13" fillId="0" borderId="44" xfId="1" applyNumberFormat="1" applyFont="1" applyFill="1" applyBorder="1"/>
    <xf numFmtId="165" fontId="15" fillId="0" borderId="4" xfId="1" applyNumberFormat="1" applyFont="1" applyBorder="1" applyAlignment="1">
      <alignment horizontal="right"/>
    </xf>
    <xf numFmtId="165" fontId="15" fillId="0" borderId="9" xfId="1" applyNumberFormat="1" applyFont="1" applyBorder="1"/>
    <xf numFmtId="165" fontId="14" fillId="0" borderId="13" xfId="1" applyNumberFormat="1" applyFont="1" applyBorder="1"/>
    <xf numFmtId="165" fontId="14" fillId="0" borderId="39" xfId="1" applyNumberFormat="1" applyFont="1" applyBorder="1"/>
    <xf numFmtId="165" fontId="14" fillId="0" borderId="21" xfId="1" applyNumberFormat="1" applyFont="1" applyBorder="1"/>
    <xf numFmtId="165" fontId="14" fillId="0" borderId="42" xfId="1" applyNumberFormat="1" applyFont="1" applyBorder="1"/>
    <xf numFmtId="165" fontId="14" fillId="0" borderId="32" xfId="1" applyNumberFormat="1" applyFont="1" applyBorder="1"/>
    <xf numFmtId="165" fontId="14" fillId="0" borderId="40" xfId="1" applyNumberFormat="1" applyFont="1" applyBorder="1"/>
    <xf numFmtId="3" fontId="55" fillId="2" borderId="46" xfId="0" applyNumberFormat="1" applyFont="1" applyFill="1" applyBorder="1"/>
    <xf numFmtId="3" fontId="55" fillId="2" borderId="29" xfId="0" applyNumberFormat="1" applyFont="1" applyFill="1" applyBorder="1"/>
    <xf numFmtId="3" fontId="56" fillId="2" borderId="49" xfId="0" applyNumberFormat="1" applyFont="1" applyFill="1" applyBorder="1"/>
    <xf numFmtId="0" fontId="13" fillId="0" borderId="14" xfId="3" applyFont="1" applyFill="1" applyBorder="1" applyAlignment="1" applyProtection="1">
      <alignment horizontal="left" vertical="center" wrapText="1" indent="1"/>
    </xf>
    <xf numFmtId="0" fontId="13" fillId="0" borderId="27" xfId="3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32" fillId="0" borderId="19" xfId="3" applyFont="1" applyFill="1" applyBorder="1" applyAlignment="1" applyProtection="1">
      <alignment horizontal="left" vertical="center" wrapText="1" indent="1"/>
    </xf>
    <xf numFmtId="0" fontId="32" fillId="0" borderId="13" xfId="3" applyFont="1" applyFill="1" applyBorder="1" applyAlignment="1" applyProtection="1">
      <alignment horizontal="left" vertical="center" wrapText="1" indent="1"/>
    </xf>
    <xf numFmtId="0" fontId="15" fillId="0" borderId="22" xfId="3" applyFont="1" applyFill="1" applyBorder="1" applyAlignment="1" applyProtection="1">
      <alignment horizontal="left" vertical="center" wrapText="1" indent="1"/>
    </xf>
    <xf numFmtId="0" fontId="15" fillId="0" borderId="23" xfId="3" applyFont="1" applyFill="1" applyBorder="1" applyAlignment="1" applyProtection="1">
      <alignment horizontal="left" vertical="center" wrapText="1" indent="1"/>
    </xf>
    <xf numFmtId="0" fontId="15" fillId="0" borderId="51" xfId="3" applyFont="1" applyFill="1" applyBorder="1" applyAlignment="1" applyProtection="1">
      <alignment horizontal="left" vertical="center" wrapText="1" indent="1"/>
    </xf>
    <xf numFmtId="165" fontId="4" fillId="0" borderId="8" xfId="1" applyNumberFormat="1" applyFont="1" applyBorder="1" applyAlignment="1"/>
    <xf numFmtId="0" fontId="15" fillId="0" borderId="15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 vertical="center" wrapText="1"/>
    </xf>
    <xf numFmtId="0" fontId="15" fillId="0" borderId="14" xfId="3" applyFont="1" applyFill="1" applyBorder="1" applyAlignment="1" applyProtection="1">
      <alignment horizontal="left"/>
    </xf>
    <xf numFmtId="0" fontId="15" fillId="0" borderId="53" xfId="3" applyFont="1" applyFill="1" applyBorder="1" applyAlignment="1" applyProtection="1">
      <alignment horizontal="left" vertical="center" wrapText="1"/>
    </xf>
    <xf numFmtId="0" fontId="13" fillId="0" borderId="23" xfId="3" applyFont="1" applyFill="1" applyBorder="1" applyAlignment="1" applyProtection="1">
      <alignment horizontal="left" indent="1"/>
    </xf>
    <xf numFmtId="164" fontId="13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3" applyNumberFormat="1" applyFont="1" applyFill="1" applyBorder="1" applyAlignment="1" applyProtection="1">
      <alignment horizontal="center" vertical="center" wrapText="1"/>
    </xf>
    <xf numFmtId="3" fontId="56" fillId="2" borderId="50" xfId="0" applyNumberFormat="1" applyFont="1" applyFill="1" applyBorder="1"/>
    <xf numFmtId="3" fontId="57" fillId="2" borderId="54" xfId="0" applyNumberFormat="1" applyFont="1" applyFill="1" applyBorder="1"/>
    <xf numFmtId="0" fontId="34" fillId="0" borderId="0" xfId="0" applyFont="1"/>
    <xf numFmtId="0" fontId="59" fillId="0" borderId="11" xfId="0" applyFont="1" applyBorder="1" applyAlignment="1">
      <alignment wrapText="1"/>
    </xf>
    <xf numFmtId="0" fontId="59" fillId="0" borderId="12" xfId="0" applyFont="1" applyBorder="1"/>
    <xf numFmtId="0" fontId="7" fillId="2" borderId="8" xfId="0" applyFont="1" applyFill="1" applyBorder="1"/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0" fontId="5" fillId="0" borderId="55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165" fontId="32" fillId="0" borderId="55" xfId="1" applyNumberFormat="1" applyFont="1" applyFill="1" applyBorder="1" applyAlignment="1" applyProtection="1">
      <alignment vertical="center" wrapText="1"/>
    </xf>
    <xf numFmtId="165" fontId="13" fillId="0" borderId="38" xfId="1" applyNumberFormat="1" applyFont="1" applyFill="1" applyBorder="1" applyAlignment="1" applyProtection="1">
      <alignment vertical="center" wrapText="1"/>
      <protection locked="0"/>
    </xf>
    <xf numFmtId="165" fontId="32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44" xfId="1" applyNumberFormat="1" applyFont="1" applyFill="1" applyBorder="1" applyAlignment="1" applyProtection="1">
      <alignment vertical="center" wrapText="1"/>
      <protection locked="0"/>
    </xf>
    <xf numFmtId="165" fontId="13" fillId="0" borderId="8" xfId="1" applyNumberFormat="1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horizontal="left" vertical="center" wrapText="1" indent="2"/>
    </xf>
    <xf numFmtId="165" fontId="7" fillId="0" borderId="8" xfId="1" applyNumberFormat="1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left" vertical="center" wrapText="1" indent="1"/>
    </xf>
    <xf numFmtId="165" fontId="0" fillId="0" borderId="13" xfId="1" applyNumberFormat="1" applyFont="1" applyBorder="1"/>
    <xf numFmtId="0" fontId="40" fillId="0" borderId="2" xfId="0" applyFont="1" applyBorder="1" applyAlignment="1">
      <alignment horizontal="left" vertical="center" wrapText="1"/>
    </xf>
    <xf numFmtId="165" fontId="13" fillId="0" borderId="13" xfId="1" applyNumberFormat="1" applyFont="1" applyBorder="1" applyAlignment="1">
      <alignment horizontal="center"/>
    </xf>
    <xf numFmtId="165" fontId="13" fillId="2" borderId="29" xfId="1" applyNumberFormat="1" applyFont="1" applyFill="1" applyBorder="1" applyAlignment="1">
      <alignment horizontal="center"/>
    </xf>
    <xf numFmtId="165" fontId="13" fillId="2" borderId="49" xfId="1" applyNumberFormat="1" applyFont="1" applyFill="1" applyBorder="1" applyAlignment="1">
      <alignment horizontal="center"/>
    </xf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24" xfId="0" applyNumberFormat="1" applyFont="1" applyFill="1" applyBorder="1" applyAlignment="1">
      <alignment horizontal="center"/>
    </xf>
    <xf numFmtId="0" fontId="17" fillId="0" borderId="13" xfId="3" applyFont="1" applyFill="1" applyBorder="1" applyAlignment="1" applyProtection="1">
      <alignment horizontal="left" vertical="center" wrapText="1" indent="1"/>
    </xf>
    <xf numFmtId="165" fontId="17" fillId="0" borderId="24" xfId="1" applyNumberFormat="1" applyFont="1" applyFill="1" applyBorder="1" applyAlignment="1" applyProtection="1">
      <alignment vertical="center" wrapText="1"/>
      <protection locked="0"/>
    </xf>
    <xf numFmtId="165" fontId="14" fillId="0" borderId="36" xfId="1" applyNumberFormat="1" applyFont="1" applyFill="1" applyBorder="1"/>
    <xf numFmtId="165" fontId="14" fillId="0" borderId="37" xfId="1" applyNumberFormat="1" applyFont="1" applyFill="1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5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0" fillId="0" borderId="48" xfId="0" applyFont="1" applyBorder="1"/>
    <xf numFmtId="165" fontId="40" fillId="0" borderId="32" xfId="0" applyNumberFormat="1" applyFont="1" applyBorder="1"/>
    <xf numFmtId="0" fontId="40" fillId="0" borderId="0" xfId="0" applyFont="1"/>
    <xf numFmtId="3" fontId="14" fillId="2" borderId="13" xfId="0" applyNumberFormat="1" applyFont="1" applyFill="1" applyBorder="1"/>
    <xf numFmtId="165" fontId="14" fillId="0" borderId="13" xfId="1" applyNumberFormat="1" applyFont="1" applyBorder="1" applyAlignment="1">
      <alignment horizontal="center"/>
    </xf>
    <xf numFmtId="165" fontId="14" fillId="0" borderId="7" xfId="1" applyNumberFormat="1" applyFont="1" applyBorder="1"/>
    <xf numFmtId="0" fontId="13" fillId="0" borderId="8" xfId="0" applyFont="1" applyBorder="1"/>
    <xf numFmtId="165" fontId="14" fillId="0" borderId="8" xfId="1" applyNumberFormat="1" applyFont="1" applyBorder="1"/>
    <xf numFmtId="0" fontId="5" fillId="0" borderId="59" xfId="0" applyFont="1" applyBorder="1"/>
    <xf numFmtId="165" fontId="6" fillId="0" borderId="54" xfId="1" applyNumberFormat="1" applyFont="1" applyBorder="1"/>
    <xf numFmtId="3" fontId="5" fillId="0" borderId="48" xfId="0" applyNumberFormat="1" applyFont="1" applyBorder="1"/>
    <xf numFmtId="0" fontId="6" fillId="0" borderId="53" xfId="0" applyFont="1" applyBorder="1"/>
    <xf numFmtId="165" fontId="6" fillId="0" borderId="5" xfId="1" applyNumberFormat="1" applyFont="1" applyBorder="1"/>
    <xf numFmtId="165" fontId="5" fillId="0" borderId="34" xfId="1" applyNumberFormat="1" applyFont="1" applyFill="1" applyBorder="1"/>
    <xf numFmtId="165" fontId="5" fillId="0" borderId="39" xfId="1" applyNumberFormat="1" applyFont="1" applyFill="1" applyBorder="1"/>
    <xf numFmtId="3" fontId="33" fillId="0" borderId="0" xfId="0" applyNumberFormat="1" applyFont="1"/>
    <xf numFmtId="3" fontId="55" fillId="0" borderId="11" xfId="0" applyNumberFormat="1" applyFont="1" applyFill="1" applyBorder="1" applyAlignment="1">
      <alignment wrapText="1"/>
    </xf>
    <xf numFmtId="3" fontId="56" fillId="0" borderId="12" xfId="0" applyNumberFormat="1" applyFont="1" applyFill="1" applyBorder="1" applyAlignment="1">
      <alignment wrapText="1"/>
    </xf>
    <xf numFmtId="3" fontId="56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55" fillId="0" borderId="49" xfId="0" applyNumberFormat="1" applyFont="1" applyFill="1" applyBorder="1" applyAlignment="1">
      <alignment wrapText="1"/>
    </xf>
    <xf numFmtId="3" fontId="57" fillId="2" borderId="13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8" fillId="2" borderId="27" xfId="0" applyNumberFormat="1" applyFont="1" applyFill="1" applyBorder="1"/>
    <xf numFmtId="3" fontId="51" fillId="2" borderId="6" xfId="0" applyNumberFormat="1" applyFont="1" applyFill="1" applyBorder="1"/>
    <xf numFmtId="3" fontId="55" fillId="2" borderId="3" xfId="0" applyNumberFormat="1" applyFont="1" applyFill="1" applyBorder="1" applyAlignment="1">
      <alignment wrapText="1"/>
    </xf>
    <xf numFmtId="3" fontId="57" fillId="2" borderId="22" xfId="0" applyNumberFormat="1" applyFont="1" applyFill="1" applyBorder="1"/>
    <xf numFmtId="3" fontId="57" fillId="2" borderId="34" xfId="0" applyNumberFormat="1" applyFont="1" applyFill="1" applyBorder="1"/>
    <xf numFmtId="3" fontId="58" fillId="2" borderId="39" xfId="0" applyNumberFormat="1" applyFont="1" applyFill="1" applyBorder="1"/>
    <xf numFmtId="3" fontId="56" fillId="2" borderId="39" xfId="0" applyNumberFormat="1" applyFont="1" applyFill="1" applyBorder="1"/>
    <xf numFmtId="3" fontId="56" fillId="2" borderId="39" xfId="0" applyNumberFormat="1" applyFont="1" applyFill="1" applyBorder="1" applyAlignment="1">
      <alignment horizontal="right"/>
    </xf>
    <xf numFmtId="3" fontId="56" fillId="2" borderId="40" xfId="0" applyNumberFormat="1" applyFont="1" applyFill="1" applyBorder="1"/>
    <xf numFmtId="3" fontId="58" fillId="2" borderId="36" xfId="0" applyNumberFormat="1" applyFont="1" applyFill="1" applyBorder="1"/>
    <xf numFmtId="3" fontId="56" fillId="2" borderId="26" xfId="0" applyNumberFormat="1" applyFont="1" applyFill="1" applyBorder="1" applyAlignment="1">
      <alignment wrapText="1"/>
    </xf>
    <xf numFmtId="3" fontId="55" fillId="2" borderId="31" xfId="0" applyNumberFormat="1" applyFont="1" applyFill="1" applyBorder="1" applyAlignment="1">
      <alignment wrapText="1"/>
    </xf>
    <xf numFmtId="165" fontId="4" fillId="0" borderId="8" xfId="0" applyNumberFormat="1" applyFont="1" applyBorder="1"/>
    <xf numFmtId="0" fontId="0" fillId="0" borderId="8" xfId="0" applyBorder="1"/>
    <xf numFmtId="0" fontId="15" fillId="0" borderId="57" xfId="0" applyFont="1" applyBorder="1" applyAlignment="1">
      <alignment horizontal="center" vertical="center" wrapText="1"/>
    </xf>
    <xf numFmtId="3" fontId="56" fillId="0" borderId="55" xfId="0" applyNumberFormat="1" applyFont="1" applyFill="1" applyBorder="1" applyAlignment="1">
      <alignment wrapText="1"/>
    </xf>
    <xf numFmtId="3" fontId="56" fillId="0" borderId="24" xfId="0" applyNumberFormat="1" applyFont="1" applyFill="1" applyBorder="1" applyAlignment="1">
      <alignment wrapText="1"/>
    </xf>
    <xf numFmtId="3" fontId="55" fillId="0" borderId="24" xfId="0" applyNumberFormat="1" applyFont="1" applyFill="1" applyBorder="1" applyAlignment="1">
      <alignment wrapText="1"/>
    </xf>
    <xf numFmtId="0" fontId="49" fillId="0" borderId="44" xfId="0" applyFont="1" applyBorder="1" applyAlignment="1">
      <alignment wrapText="1"/>
    </xf>
    <xf numFmtId="165" fontId="0" fillId="0" borderId="0" xfId="1" applyNumberFormat="1" applyFont="1"/>
    <xf numFmtId="0" fontId="18" fillId="0" borderId="0" xfId="0" applyFont="1" applyAlignment="1">
      <alignment horizontal="right"/>
    </xf>
    <xf numFmtId="165" fontId="7" fillId="0" borderId="33" xfId="1" applyNumberFormat="1" applyFont="1" applyBorder="1"/>
    <xf numFmtId="0" fontId="14" fillId="0" borderId="41" xfId="3" applyFont="1" applyFill="1" applyBorder="1" applyAlignment="1" applyProtection="1">
      <alignment horizontal="left" vertical="center" wrapText="1" indent="1"/>
    </xf>
    <xf numFmtId="3" fontId="58" fillId="0" borderId="32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5" fontId="7" fillId="2" borderId="8" xfId="0" applyNumberFormat="1" applyFont="1" applyFill="1" applyBorder="1"/>
    <xf numFmtId="165" fontId="15" fillId="0" borderId="41" xfId="1" applyNumberFormat="1" applyFont="1" applyBorder="1" applyAlignment="1">
      <alignment horizontal="right"/>
    </xf>
    <xf numFmtId="165" fontId="15" fillId="0" borderId="8" xfId="1" applyNumberFormat="1" applyFont="1" applyBorder="1" applyAlignment="1">
      <alignment horizontal="right"/>
    </xf>
    <xf numFmtId="165" fontId="15" fillId="0" borderId="8" xfId="1" applyNumberFormat="1" applyFont="1" applyFill="1" applyBorder="1" applyAlignment="1" applyProtection="1">
      <alignment horizontal="left" indent="1"/>
    </xf>
    <xf numFmtId="0" fontId="16" fillId="0" borderId="22" xfId="3" applyFont="1" applyFill="1" applyBorder="1" applyAlignment="1" applyProtection="1">
      <alignment horizontal="left"/>
    </xf>
    <xf numFmtId="165" fontId="16" fillId="0" borderId="19" xfId="1" applyNumberFormat="1" applyFont="1" applyFill="1" applyBorder="1" applyAlignment="1" applyProtection="1"/>
    <xf numFmtId="0" fontId="4" fillId="0" borderId="0" xfId="0" applyFont="1" applyFill="1"/>
    <xf numFmtId="165" fontId="2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64" fillId="0" borderId="0" xfId="1" applyNumberFormat="1" applyFont="1" applyFill="1" applyBorder="1"/>
    <xf numFmtId="165" fontId="64" fillId="0" borderId="0" xfId="1" applyNumberFormat="1" applyFont="1"/>
    <xf numFmtId="165" fontId="64" fillId="0" borderId="0" xfId="0" applyNumberFormat="1" applyFont="1"/>
    <xf numFmtId="3" fontId="41" fillId="0" borderId="0" xfId="0" applyNumberFormat="1" applyFont="1"/>
    <xf numFmtId="0" fontId="15" fillId="0" borderId="26" xfId="3" applyFont="1" applyFill="1" applyBorder="1" applyAlignment="1" applyProtection="1">
      <alignment horizontal="left" vertical="center" wrapText="1" indent="1"/>
    </xf>
    <xf numFmtId="0" fontId="43" fillId="0" borderId="17" xfId="3" applyFont="1" applyFill="1" applyBorder="1" applyAlignment="1" applyProtection="1">
      <alignment horizontal="left" vertical="center" wrapText="1" indent="1"/>
    </xf>
    <xf numFmtId="0" fontId="15" fillId="0" borderId="50" xfId="3" applyFont="1" applyFill="1" applyBorder="1" applyAlignment="1" applyProtection="1">
      <alignment horizontal="left" vertical="center" wrapText="1" indent="1"/>
    </xf>
    <xf numFmtId="165" fontId="15" fillId="0" borderId="43" xfId="1" applyNumberFormat="1" applyFont="1" applyFill="1" applyBorder="1" applyAlignment="1" applyProtection="1">
      <alignment vertical="center" wrapText="1"/>
    </xf>
    <xf numFmtId="0" fontId="32" fillId="0" borderId="22" xfId="3" applyFont="1" applyFill="1" applyBorder="1" applyAlignment="1" applyProtection="1">
      <alignment horizontal="left" vertical="center" wrapText="1" indent="2"/>
    </xf>
    <xf numFmtId="165" fontId="32" fillId="0" borderId="19" xfId="1" applyNumberFormat="1" applyFont="1" applyFill="1" applyBorder="1" applyAlignment="1" applyProtection="1">
      <alignment vertical="center" wrapText="1"/>
    </xf>
    <xf numFmtId="165" fontId="13" fillId="0" borderId="39" xfId="1" applyNumberFormat="1" applyFont="1" applyFill="1" applyBorder="1" applyAlignment="1" applyProtection="1">
      <alignment vertical="center" wrapText="1"/>
      <protection locked="0"/>
    </xf>
    <xf numFmtId="165" fontId="13" fillId="0" borderId="39" xfId="1" applyNumberFormat="1" applyFont="1" applyFill="1" applyBorder="1" applyAlignment="1" applyProtection="1">
      <alignment vertical="center" wrapText="1"/>
    </xf>
    <xf numFmtId="0" fontId="13" fillId="0" borderId="48" xfId="3" applyFont="1" applyFill="1" applyBorder="1" applyAlignment="1" applyProtection="1">
      <alignment horizontal="left" vertical="center" wrapText="1" indent="2"/>
    </xf>
    <xf numFmtId="165" fontId="13" fillId="0" borderId="40" xfId="1" applyNumberFormat="1" applyFont="1" applyFill="1" applyBorder="1" applyAlignment="1" applyProtection="1">
      <alignment vertical="center" wrapText="1"/>
      <protection locked="0"/>
    </xf>
    <xf numFmtId="165" fontId="7" fillId="2" borderId="67" xfId="1" applyNumberFormat="1" applyFont="1" applyFill="1" applyBorder="1" applyAlignment="1">
      <alignment horizontal="center" vertical="center"/>
    </xf>
    <xf numFmtId="165" fontId="7" fillId="0" borderId="67" xfId="1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/>
    <xf numFmtId="165" fontId="14" fillId="0" borderId="13" xfId="1" applyNumberFormat="1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5" fontId="14" fillId="2" borderId="19" xfId="1" applyNumberFormat="1" applyFont="1" applyFill="1" applyBorder="1" applyAlignment="1">
      <alignment horizontal="center" vertical="center"/>
    </xf>
    <xf numFmtId="165" fontId="14" fillId="2" borderId="34" xfId="1" applyNumberFormat="1" applyFont="1" applyFill="1" applyBorder="1" applyAlignment="1">
      <alignment horizontal="center" vertical="center"/>
    </xf>
    <xf numFmtId="165" fontId="14" fillId="0" borderId="23" xfId="1" applyNumberFormat="1" applyFont="1" applyBorder="1"/>
    <xf numFmtId="165" fontId="14" fillId="0" borderId="39" xfId="1" applyNumberFormat="1" applyFont="1" applyBorder="1" applyAlignment="1">
      <alignment horizontal="center"/>
    </xf>
    <xf numFmtId="165" fontId="14" fillId="2" borderId="23" xfId="1" applyNumberFormat="1" applyFont="1" applyFill="1" applyBorder="1"/>
    <xf numFmtId="165" fontId="14" fillId="2" borderId="39" xfId="1" applyNumberFormat="1" applyFont="1" applyFill="1" applyBorder="1" applyAlignment="1">
      <alignment horizontal="center"/>
    </xf>
    <xf numFmtId="165" fontId="14" fillId="0" borderId="23" xfId="1" applyNumberFormat="1" applyFont="1" applyFill="1" applyBorder="1"/>
    <xf numFmtId="165" fontId="14" fillId="0" borderId="39" xfId="1" applyNumberFormat="1" applyFont="1" applyFill="1" applyBorder="1" applyAlignment="1">
      <alignment horizontal="center"/>
    </xf>
    <xf numFmtId="165" fontId="7" fillId="0" borderId="33" xfId="1" applyNumberFormat="1" applyFont="1" applyBorder="1" applyAlignment="1">
      <alignment horizontal="center" vertical="center" wrapText="1"/>
    </xf>
    <xf numFmtId="165" fontId="15" fillId="0" borderId="0" xfId="1" applyNumberFormat="1" applyFont="1" applyBorder="1" applyAlignment="1"/>
    <xf numFmtId="165" fontId="4" fillId="0" borderId="0" xfId="1" applyNumberFormat="1" applyFont="1"/>
    <xf numFmtId="165" fontId="14" fillId="0" borderId="36" xfId="1" applyNumberFormat="1" applyFont="1" applyFill="1" applyBorder="1" applyAlignment="1"/>
    <xf numFmtId="0" fontId="14" fillId="2" borderId="1" xfId="0" applyFont="1" applyFill="1" applyBorder="1" applyAlignment="1"/>
    <xf numFmtId="0" fontId="59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0" fillId="0" borderId="0" xfId="0" applyNumberFormat="1"/>
    <xf numFmtId="0" fontId="54" fillId="0" borderId="11" xfId="0" applyFont="1" applyFill="1" applyBorder="1"/>
    <xf numFmtId="0" fontId="54" fillId="0" borderId="12" xfId="0" applyFont="1" applyFill="1" applyBorder="1"/>
    <xf numFmtId="0" fontId="59" fillId="0" borderId="11" xfId="0" applyFont="1" applyFill="1" applyBorder="1"/>
    <xf numFmtId="0" fontId="7" fillId="0" borderId="8" xfId="0" applyFont="1" applyFill="1" applyBorder="1"/>
    <xf numFmtId="165" fontId="7" fillId="0" borderId="8" xfId="0" applyNumberFormat="1" applyFont="1" applyFill="1" applyBorder="1"/>
    <xf numFmtId="3" fontId="65" fillId="0" borderId="8" xfId="0" applyNumberFormat="1" applyFont="1" applyFill="1" applyBorder="1"/>
    <xf numFmtId="0" fontId="13" fillId="0" borderId="3" xfId="0" applyFont="1" applyBorder="1" applyAlignment="1">
      <alignment wrapText="1"/>
    </xf>
    <xf numFmtId="165" fontId="13" fillId="0" borderId="3" xfId="1" applyNumberFormat="1" applyFont="1" applyBorder="1"/>
    <xf numFmtId="3" fontId="57" fillId="2" borderId="29" xfId="0" applyNumberFormat="1" applyFont="1" applyFill="1" applyBorder="1"/>
    <xf numFmtId="3" fontId="56" fillId="2" borderId="8" xfId="0" applyNumberFormat="1" applyFont="1" applyFill="1" applyBorder="1" applyAlignment="1">
      <alignment wrapText="1"/>
    </xf>
    <xf numFmtId="3" fontId="55" fillId="0" borderId="22" xfId="0" applyNumberFormat="1" applyFont="1" applyFill="1" applyBorder="1" applyAlignment="1">
      <alignment wrapText="1"/>
    </xf>
    <xf numFmtId="3" fontId="55" fillId="0" borderId="19" xfId="0" applyNumberFormat="1" applyFont="1" applyFill="1" applyBorder="1"/>
    <xf numFmtId="3" fontId="55" fillId="2" borderId="19" xfId="0" applyNumberFormat="1" applyFont="1" applyFill="1" applyBorder="1"/>
    <xf numFmtId="3" fontId="55" fillId="2" borderId="30" xfId="0" applyNumberFormat="1" applyFont="1" applyFill="1" applyBorder="1"/>
    <xf numFmtId="3" fontId="55" fillId="0" borderId="23" xfId="0" applyNumberFormat="1" applyFont="1" applyFill="1" applyBorder="1" applyAlignment="1">
      <alignment wrapText="1"/>
    </xf>
    <xf numFmtId="3" fontId="28" fillId="0" borderId="45" xfId="0" applyNumberFormat="1" applyFont="1" applyFill="1" applyBorder="1"/>
    <xf numFmtId="3" fontId="28" fillId="2" borderId="54" xfId="0" applyNumberFormat="1" applyFont="1" applyFill="1" applyBorder="1"/>
    <xf numFmtId="3" fontId="28" fillId="2" borderId="50" xfId="0" applyNumberFormat="1" applyFont="1" applyFill="1" applyBorder="1"/>
    <xf numFmtId="3" fontId="28" fillId="0" borderId="40" xfId="0" applyNumberFormat="1" applyFont="1" applyFill="1" applyBorder="1"/>
    <xf numFmtId="3" fontId="28" fillId="0" borderId="54" xfId="0" applyNumberFormat="1" applyFont="1" applyFill="1" applyBorder="1"/>
    <xf numFmtId="3" fontId="28" fillId="0" borderId="43" xfId="0" applyNumberFormat="1" applyFont="1" applyFill="1" applyBorder="1"/>
    <xf numFmtId="3" fontId="56" fillId="0" borderId="3" xfId="0" applyNumberFormat="1" applyFont="1" applyFill="1" applyBorder="1" applyAlignment="1">
      <alignment wrapText="1"/>
    </xf>
    <xf numFmtId="3" fontId="56" fillId="0" borderId="32" xfId="0" applyNumberFormat="1" applyFont="1" applyFill="1" applyBorder="1"/>
    <xf numFmtId="3" fontId="56" fillId="2" borderId="47" xfId="0" applyNumberFormat="1" applyFont="1" applyFill="1" applyBorder="1"/>
    <xf numFmtId="3" fontId="56" fillId="0" borderId="18" xfId="0" applyNumberFormat="1" applyFont="1" applyFill="1" applyBorder="1"/>
    <xf numFmtId="3" fontId="47" fillId="2" borderId="18" xfId="0" applyNumberFormat="1" applyFont="1" applyFill="1" applyBorder="1"/>
    <xf numFmtId="3" fontId="47" fillId="0" borderId="15" xfId="0" applyNumberFormat="1" applyFont="1" applyFill="1" applyBorder="1"/>
    <xf numFmtId="3" fontId="56" fillId="0" borderId="60" xfId="0" applyNumberFormat="1" applyFont="1" applyFill="1" applyBorder="1"/>
    <xf numFmtId="3" fontId="56" fillId="2" borderId="60" xfId="0" applyNumberFormat="1" applyFont="1" applyFill="1" applyBorder="1"/>
    <xf numFmtId="3" fontId="57" fillId="2" borderId="60" xfId="0" applyNumberFormat="1" applyFont="1" applyFill="1" applyBorder="1"/>
    <xf numFmtId="3" fontId="28" fillId="0" borderId="61" xfId="0" applyNumberFormat="1" applyFont="1" applyFill="1" applyBorder="1"/>
    <xf numFmtId="3" fontId="47" fillId="0" borderId="19" xfId="0" applyNumberFormat="1" applyFont="1" applyFill="1" applyBorder="1"/>
    <xf numFmtId="0" fontId="15" fillId="0" borderId="54" xfId="3" applyFont="1" applyFill="1" applyBorder="1" applyAlignment="1" applyProtection="1">
      <alignment vertical="center" wrapText="1"/>
    </xf>
    <xf numFmtId="0" fontId="13" fillId="0" borderId="13" xfId="3" applyFont="1" applyFill="1" applyBorder="1" applyAlignment="1" applyProtection="1">
      <alignment vertical="center" wrapText="1"/>
    </xf>
    <xf numFmtId="166" fontId="13" fillId="0" borderId="0" xfId="1" applyNumberFormat="1" applyFont="1"/>
    <xf numFmtId="3" fontId="58" fillId="0" borderId="13" xfId="0" applyNumberFormat="1" applyFont="1" applyFill="1" applyBorder="1"/>
    <xf numFmtId="3" fontId="14" fillId="0" borderId="13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right"/>
    </xf>
    <xf numFmtId="3" fontId="63" fillId="2" borderId="34" xfId="0" applyNumberFormat="1" applyFont="1" applyFill="1" applyBorder="1" applyAlignment="1">
      <alignment horizontal="right"/>
    </xf>
    <xf numFmtId="3" fontId="14" fillId="0" borderId="13" xfId="0" applyNumberFormat="1" applyFont="1" applyBorder="1"/>
    <xf numFmtId="3" fontId="14" fillId="0" borderId="18" xfId="0" applyNumberFormat="1" applyFont="1" applyBorder="1" applyAlignment="1">
      <alignment horizontal="center"/>
    </xf>
    <xf numFmtId="3" fontId="14" fillId="0" borderId="18" xfId="0" applyNumberFormat="1" applyFont="1" applyBorder="1" applyAlignment="1">
      <alignment horizontal="right"/>
    </xf>
    <xf numFmtId="3" fontId="13" fillId="0" borderId="19" xfId="0" applyNumberFormat="1" applyFont="1" applyBorder="1" applyAlignment="1">
      <alignment horizontal="center"/>
    </xf>
    <xf numFmtId="3" fontId="13" fillId="0" borderId="19" xfId="0" applyNumberFormat="1" applyFont="1" applyBorder="1"/>
    <xf numFmtId="165" fontId="13" fillId="0" borderId="31" xfId="1" applyNumberFormat="1" applyFont="1" applyBorder="1"/>
    <xf numFmtId="165" fontId="13" fillId="0" borderId="6" xfId="1" applyNumberFormat="1" applyFont="1" applyBorder="1"/>
    <xf numFmtId="165" fontId="13" fillId="0" borderId="6" xfId="1" applyNumberFormat="1" applyFont="1" applyFill="1" applyBorder="1"/>
    <xf numFmtId="0" fontId="0" fillId="0" borderId="0" xfId="0" applyAlignment="1">
      <alignment horizontal="center"/>
    </xf>
    <xf numFmtId="0" fontId="14" fillId="0" borderId="26" xfId="0" applyFont="1" applyBorder="1" applyAlignment="1">
      <alignment horizontal="center" vertical="center"/>
    </xf>
    <xf numFmtId="165" fontId="15" fillId="0" borderId="0" xfId="1" applyNumberFormat="1" applyFont="1" applyFill="1" applyBorder="1"/>
    <xf numFmtId="0" fontId="7" fillId="0" borderId="4" xfId="0" applyFont="1" applyBorder="1" applyAlignment="1">
      <alignment horizontal="center" vertical="center" wrapText="1"/>
    </xf>
    <xf numFmtId="0" fontId="14" fillId="0" borderId="66" xfId="0" applyFont="1" applyBorder="1"/>
    <xf numFmtId="0" fontId="14" fillId="0" borderId="65" xfId="0" applyFont="1" applyBorder="1"/>
    <xf numFmtId="0" fontId="14" fillId="0" borderId="65" xfId="0" applyFont="1" applyFill="1" applyBorder="1"/>
    <xf numFmtId="165" fontId="14" fillId="0" borderId="56" xfId="1" applyNumberFormat="1" applyFont="1" applyFill="1" applyBorder="1"/>
    <xf numFmtId="165" fontId="7" fillId="2" borderId="62" xfId="1" applyNumberFormat="1" applyFont="1" applyFill="1" applyBorder="1" applyAlignment="1">
      <alignment horizontal="center" vertical="center"/>
    </xf>
    <xf numFmtId="165" fontId="14" fillId="0" borderId="35" xfId="1" applyNumberFormat="1" applyFont="1" applyBorder="1"/>
    <xf numFmtId="0" fontId="14" fillId="0" borderId="21" xfId="0" applyFont="1" applyBorder="1"/>
    <xf numFmtId="165" fontId="14" fillId="0" borderId="42" xfId="1" applyNumberFormat="1" applyFont="1" applyBorder="1" applyAlignment="1">
      <alignment horizontal="center"/>
    </xf>
    <xf numFmtId="165" fontId="7" fillId="0" borderId="8" xfId="1" applyNumberFormat="1" applyFont="1" applyFill="1" applyBorder="1"/>
    <xf numFmtId="0" fontId="40" fillId="0" borderId="12" xfId="0" applyFont="1" applyBorder="1"/>
    <xf numFmtId="165" fontId="14" fillId="2" borderId="39" xfId="1" applyNumberFormat="1" applyFont="1" applyFill="1" applyBorder="1"/>
    <xf numFmtId="165" fontId="14" fillId="0" borderId="8" xfId="1" applyNumberFormat="1" applyFont="1" applyFill="1" applyBorder="1" applyAlignment="1" applyProtection="1">
      <alignment vertical="center" wrapText="1"/>
    </xf>
    <xf numFmtId="0" fontId="24" fillId="0" borderId="0" xfId="0" applyFont="1" applyAlignment="1">
      <alignment horizontal="center"/>
    </xf>
    <xf numFmtId="0" fontId="0" fillId="0" borderId="13" xfId="0" applyBorder="1"/>
    <xf numFmtId="0" fontId="5" fillId="0" borderId="25" xfId="0" applyFont="1" applyBorder="1"/>
    <xf numFmtId="165" fontId="5" fillId="0" borderId="49" xfId="1" applyNumberFormat="1" applyFont="1" applyBorder="1"/>
    <xf numFmtId="3" fontId="5" fillId="0" borderId="35" xfId="0" applyNumberFormat="1" applyFont="1" applyBorder="1" applyAlignment="1">
      <alignment wrapText="1"/>
    </xf>
    <xf numFmtId="166" fontId="0" fillId="0" borderId="0" xfId="0" applyNumberFormat="1"/>
    <xf numFmtId="165" fontId="5" fillId="0" borderId="39" xfId="1" applyNumberFormat="1" applyFont="1" applyFill="1" applyBorder="1" applyAlignment="1">
      <alignment horizontal="center"/>
    </xf>
    <xf numFmtId="0" fontId="13" fillId="0" borderId="0" xfId="0" applyFont="1" applyBorder="1"/>
    <xf numFmtId="166" fontId="0" fillId="0" borderId="0" xfId="0" applyNumberFormat="1" applyBorder="1"/>
    <xf numFmtId="165" fontId="0" fillId="0" borderId="0" xfId="1" applyNumberFormat="1" applyFont="1" applyAlignment="1">
      <alignment horizontal="right"/>
    </xf>
    <xf numFmtId="165" fontId="68" fillId="0" borderId="0" xfId="1" applyNumberFormat="1" applyFont="1"/>
    <xf numFmtId="0" fontId="59" fillId="0" borderId="11" xfId="0" applyFont="1" applyFill="1" applyBorder="1" applyAlignment="1">
      <alignment wrapText="1"/>
    </xf>
    <xf numFmtId="165" fontId="40" fillId="0" borderId="13" xfId="1" applyNumberFormat="1" applyFont="1" applyFill="1" applyBorder="1"/>
    <xf numFmtId="0" fontId="41" fillId="0" borderId="0" xfId="0" applyFont="1" applyFill="1"/>
    <xf numFmtId="0" fontId="59" fillId="0" borderId="12" xfId="0" applyFont="1" applyFill="1" applyBorder="1"/>
    <xf numFmtId="0" fontId="14" fillId="0" borderId="13" xfId="0" applyFont="1" applyFill="1" applyBorder="1"/>
    <xf numFmtId="0" fontId="67" fillId="0" borderId="0" xfId="5" applyFont="1" applyFill="1" applyBorder="1" applyAlignment="1"/>
    <xf numFmtId="165" fontId="69" fillId="0" borderId="0" xfId="2" applyNumberFormat="1" applyFont="1" applyFill="1" applyBorder="1" applyAlignment="1"/>
    <xf numFmtId="0" fontId="14" fillId="2" borderId="0" xfId="0" applyFont="1" applyFill="1" applyBorder="1" applyAlignment="1"/>
    <xf numFmtId="3" fontId="9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5" fontId="20" fillId="0" borderId="13" xfId="1" applyNumberFormat="1" applyFont="1" applyBorder="1"/>
    <xf numFmtId="0" fontId="6" fillId="0" borderId="14" xfId="0" applyFont="1" applyBorder="1" applyAlignment="1">
      <alignment horizontal="center" vertical="center" wrapText="1"/>
    </xf>
    <xf numFmtId="165" fontId="6" fillId="0" borderId="16" xfId="1" applyNumberFormat="1" applyFont="1" applyBorder="1" applyAlignment="1">
      <alignment horizontal="center" vertical="center" wrapText="1"/>
    </xf>
    <xf numFmtId="0" fontId="60" fillId="0" borderId="58" xfId="0" applyFont="1" applyFill="1" applyBorder="1" applyAlignment="1"/>
    <xf numFmtId="0" fontId="6" fillId="0" borderId="8" xfId="0" applyFont="1" applyBorder="1" applyAlignment="1">
      <alignment horizontal="center" vertical="center" wrapText="1"/>
    </xf>
    <xf numFmtId="0" fontId="5" fillId="0" borderId="22" xfId="0" applyFont="1" applyBorder="1"/>
    <xf numFmtId="165" fontId="5" fillId="0" borderId="34" xfId="1" applyNumberFormat="1" applyFont="1" applyBorder="1"/>
    <xf numFmtId="165" fontId="5" fillId="0" borderId="45" xfId="1" applyNumberFormat="1" applyFont="1" applyBorder="1"/>
    <xf numFmtId="0" fontId="5" fillId="0" borderId="48" xfId="0" applyFont="1" applyBorder="1" applyAlignment="1">
      <alignment wrapText="1"/>
    </xf>
    <xf numFmtId="165" fontId="5" fillId="0" borderId="40" xfId="1" applyNumberFormat="1" applyFont="1" applyBorder="1"/>
    <xf numFmtId="3" fontId="36" fillId="0" borderId="22" xfId="0" applyNumberFormat="1" applyFont="1" applyBorder="1" applyAlignment="1">
      <alignment wrapText="1"/>
    </xf>
    <xf numFmtId="165" fontId="5" fillId="0" borderId="34" xfId="1" applyNumberFormat="1" applyFont="1" applyFill="1" applyBorder="1" applyAlignment="1">
      <alignment horizontal="center"/>
    </xf>
    <xf numFmtId="3" fontId="6" fillId="0" borderId="14" xfId="0" applyNumberFormat="1" applyFont="1" applyBorder="1"/>
    <xf numFmtId="165" fontId="60" fillId="0" borderId="52" xfId="0" applyNumberFormat="1" applyFont="1" applyFill="1" applyBorder="1" applyAlignment="1"/>
    <xf numFmtId="3" fontId="6" fillId="0" borderId="9" xfId="0" applyNumberFormat="1" applyFont="1" applyBorder="1"/>
    <xf numFmtId="165" fontId="6" fillId="0" borderId="8" xfId="1" applyNumberFormat="1" applyFont="1" applyBorder="1"/>
    <xf numFmtId="0" fontId="6" fillId="0" borderId="9" xfId="0" applyFont="1" applyBorder="1"/>
    <xf numFmtId="165" fontId="14" fillId="0" borderId="0" xfId="1" applyNumberFormat="1" applyFont="1" applyFill="1" applyBorder="1"/>
    <xf numFmtId="165" fontId="0" fillId="0" borderId="0" xfId="1" applyNumberFormat="1" applyFont="1" applyBorder="1"/>
    <xf numFmtId="0" fontId="18" fillId="0" borderId="7" xfId="0" applyFont="1" applyBorder="1" applyAlignment="1">
      <alignment horizontal="right"/>
    </xf>
    <xf numFmtId="0" fontId="63" fillId="0" borderId="24" xfId="0" applyFont="1" applyFill="1" applyBorder="1" applyAlignment="1">
      <alignment wrapText="1"/>
    </xf>
    <xf numFmtId="0" fontId="63" fillId="0" borderId="24" xfId="0" applyFont="1" applyFill="1" applyBorder="1"/>
    <xf numFmtId="0" fontId="2" fillId="0" borderId="0" xfId="0" applyFont="1" applyFill="1"/>
    <xf numFmtId="0" fontId="63" fillId="0" borderId="24" xfId="0" applyFont="1" applyFill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7" xfId="0" applyFont="1" applyFill="1" applyBorder="1" applyAlignment="1"/>
    <xf numFmtId="165" fontId="2" fillId="0" borderId="0" xfId="1" applyNumberFormat="1" applyFont="1" applyAlignment="1">
      <alignment horizontal="right"/>
    </xf>
    <xf numFmtId="166" fontId="2" fillId="0" borderId="0" xfId="1" applyNumberFormat="1" applyFont="1"/>
    <xf numFmtId="165" fontId="34" fillId="0" borderId="0" xfId="1" applyNumberFormat="1" applyFont="1"/>
    <xf numFmtId="165" fontId="70" fillId="0" borderId="0" xfId="1" applyNumberFormat="1" applyFont="1"/>
    <xf numFmtId="165" fontId="71" fillId="0" borderId="0" xfId="1" applyNumberFormat="1" applyFont="1"/>
    <xf numFmtId="165" fontId="72" fillId="0" borderId="0" xfId="1" applyNumberFormat="1" applyFont="1"/>
    <xf numFmtId="3" fontId="13" fillId="0" borderId="0" xfId="0" applyNumberFormat="1" applyFont="1"/>
    <xf numFmtId="165" fontId="13" fillId="0" borderId="0" xfId="0" applyNumberFormat="1" applyFont="1"/>
    <xf numFmtId="3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5" fillId="0" borderId="0" xfId="1" applyNumberFormat="1" applyFont="1" applyBorder="1"/>
    <xf numFmtId="165" fontId="5" fillId="0" borderId="0" xfId="0" applyNumberFormat="1" applyFont="1" applyBorder="1"/>
    <xf numFmtId="0" fontId="2" fillId="2" borderId="7" xfId="0" applyFont="1" applyFill="1" applyBorder="1" applyAlignment="1">
      <alignment horizontal="right"/>
    </xf>
    <xf numFmtId="0" fontId="15" fillId="2" borderId="6" xfId="0" applyFont="1" applyFill="1" applyBorder="1"/>
    <xf numFmtId="165" fontId="4" fillId="2" borderId="31" xfId="0" applyNumberFormat="1" applyFont="1" applyFill="1" applyBorder="1"/>
    <xf numFmtId="165" fontId="14" fillId="2" borderId="36" xfId="1" applyNumberFormat="1" applyFont="1" applyFill="1" applyBorder="1"/>
    <xf numFmtId="0" fontId="59" fillId="0" borderId="55" xfId="0" applyFont="1" applyBorder="1" applyAlignment="1">
      <alignment wrapText="1"/>
    </xf>
    <xf numFmtId="0" fontId="59" fillId="0" borderId="44" xfId="0" applyFont="1" applyBorder="1" applyAlignment="1">
      <alignment wrapText="1"/>
    </xf>
    <xf numFmtId="165" fontId="4" fillId="0" borderId="62" xfId="1" applyNumberFormat="1" applyFont="1" applyBorder="1" applyAlignment="1">
      <alignment horizontal="center"/>
    </xf>
    <xf numFmtId="165" fontId="14" fillId="2" borderId="22" xfId="1" applyNumberFormat="1" applyFont="1" applyFill="1" applyBorder="1"/>
    <xf numFmtId="165" fontId="14" fillId="2" borderId="19" xfId="1" applyNumberFormat="1" applyFont="1" applyFill="1" applyBorder="1"/>
    <xf numFmtId="165" fontId="14" fillId="2" borderId="34" xfId="1" applyNumberFormat="1" applyFont="1" applyFill="1" applyBorder="1"/>
    <xf numFmtId="165" fontId="14" fillId="2" borderId="48" xfId="1" applyNumberFormat="1" applyFont="1" applyFill="1" applyBorder="1"/>
    <xf numFmtId="165" fontId="14" fillId="2" borderId="32" xfId="1" applyNumberFormat="1" applyFont="1" applyFill="1" applyBorder="1"/>
    <xf numFmtId="165" fontId="14" fillId="2" borderId="40" xfId="1" applyNumberFormat="1" applyFont="1" applyFill="1" applyBorder="1"/>
    <xf numFmtId="3" fontId="19" fillId="2" borderId="4" xfId="0" applyNumberFormat="1" applyFont="1" applyFill="1" applyBorder="1" applyAlignment="1">
      <alignment horizontal="center" vertical="center"/>
    </xf>
    <xf numFmtId="165" fontId="4" fillId="0" borderId="67" xfId="1" applyNumberFormat="1" applyFont="1" applyBorder="1" applyAlignment="1">
      <alignment horizontal="center"/>
    </xf>
    <xf numFmtId="165" fontId="4" fillId="0" borderId="68" xfId="0" applyNumberFormat="1" applyFont="1" applyBorder="1"/>
    <xf numFmtId="165" fontId="4" fillId="0" borderId="69" xfId="0" applyNumberFormat="1" applyFont="1" applyBorder="1"/>
    <xf numFmtId="0" fontId="16" fillId="0" borderId="53" xfId="0" applyFont="1" applyBorder="1"/>
    <xf numFmtId="165" fontId="40" fillId="2" borderId="54" xfId="1" applyNumberFormat="1" applyFont="1" applyFill="1" applyBorder="1"/>
    <xf numFmtId="3" fontId="19" fillId="2" borderId="19" xfId="0" applyNumberFormat="1" applyFont="1" applyFill="1" applyBorder="1" applyAlignment="1">
      <alignment horizontal="center" vertical="center"/>
    </xf>
    <xf numFmtId="3" fontId="19" fillId="2" borderId="34" xfId="0" applyNumberFormat="1" applyFont="1" applyFill="1" applyBorder="1" applyAlignment="1">
      <alignment horizontal="center" vertical="center"/>
    </xf>
    <xf numFmtId="165" fontId="0" fillId="0" borderId="39" xfId="1" applyNumberFormat="1" applyFont="1" applyBorder="1"/>
    <xf numFmtId="165" fontId="4" fillId="0" borderId="32" xfId="1" applyNumberFormat="1" applyFont="1" applyBorder="1" applyAlignment="1">
      <alignment horizontal="center"/>
    </xf>
    <xf numFmtId="165" fontId="0" fillId="0" borderId="32" xfId="1" applyNumberFormat="1" applyFont="1" applyBorder="1"/>
    <xf numFmtId="165" fontId="0" fillId="0" borderId="40" xfId="1" applyNumberFormat="1" applyFont="1" applyBorder="1"/>
    <xf numFmtId="3" fontId="19" fillId="2" borderId="57" xfId="0" applyNumberFormat="1" applyFont="1" applyFill="1" applyBorder="1" applyAlignment="1">
      <alignment horizontal="center" vertical="center"/>
    </xf>
    <xf numFmtId="165" fontId="14" fillId="2" borderId="56" xfId="1" applyNumberFormat="1" applyFont="1" applyFill="1" applyBorder="1"/>
    <xf numFmtId="0" fontId="14" fillId="0" borderId="55" xfId="0" applyFont="1" applyBorder="1" applyAlignment="1">
      <alignment horizontal="left" vertical="center"/>
    </xf>
    <xf numFmtId="165" fontId="3" fillId="0" borderId="33" xfId="1" applyNumberFormat="1" applyFont="1" applyFill="1" applyBorder="1" applyAlignment="1">
      <alignment horizontal="center"/>
    </xf>
    <xf numFmtId="0" fontId="7" fillId="0" borderId="6" xfId="0" applyFont="1" applyBorder="1"/>
    <xf numFmtId="165" fontId="7" fillId="2" borderId="6" xfId="1" applyNumberFormat="1" applyFont="1" applyFill="1" applyBorder="1"/>
    <xf numFmtId="165" fontId="13" fillId="0" borderId="13" xfId="1" applyNumberFormat="1" applyFont="1" applyFill="1" applyBorder="1"/>
    <xf numFmtId="165" fontId="14" fillId="0" borderId="19" xfId="1" applyNumberFormat="1" applyFont="1" applyFill="1" applyBorder="1"/>
    <xf numFmtId="165" fontId="14" fillId="0" borderId="39" xfId="1" applyNumberFormat="1" applyFont="1" applyFill="1" applyBorder="1"/>
    <xf numFmtId="165" fontId="14" fillId="0" borderId="32" xfId="1" applyNumberFormat="1" applyFont="1" applyFill="1" applyBorder="1"/>
    <xf numFmtId="165" fontId="14" fillId="2" borderId="57" xfId="1" applyNumberFormat="1" applyFont="1" applyFill="1" applyBorder="1"/>
    <xf numFmtId="0" fontId="63" fillId="0" borderId="55" xfId="0" applyFont="1" applyBorder="1"/>
    <xf numFmtId="0" fontId="63" fillId="0" borderId="24" xfId="0" applyFont="1" applyBorder="1"/>
    <xf numFmtId="49" fontId="17" fillId="0" borderId="24" xfId="0" applyNumberFormat="1" applyFont="1" applyFill="1" applyBorder="1"/>
    <xf numFmtId="0" fontId="63" fillId="0" borderId="44" xfId="0" applyFont="1" applyBorder="1" applyAlignment="1">
      <alignment wrapText="1"/>
    </xf>
    <xf numFmtId="165" fontId="0" fillId="0" borderId="70" xfId="0" applyNumberFormat="1" applyBorder="1"/>
    <xf numFmtId="165" fontId="7" fillId="0" borderId="6" xfId="1" applyNumberFormat="1" applyFont="1" applyFill="1" applyBorder="1"/>
    <xf numFmtId="165" fontId="23" fillId="0" borderId="13" xfId="1" applyNumberFormat="1" applyFont="1" applyBorder="1"/>
    <xf numFmtId="0" fontId="0" fillId="0" borderId="13" xfId="0" applyBorder="1" applyAlignment="1">
      <alignment horizontal="center"/>
    </xf>
    <xf numFmtId="0" fontId="44" fillId="0" borderId="10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165" fontId="13" fillId="0" borderId="19" xfId="1" applyNumberFormat="1" applyFont="1" applyFill="1" applyBorder="1"/>
    <xf numFmtId="165" fontId="23" fillId="0" borderId="19" xfId="1" applyNumberFormat="1" applyFont="1" applyBorder="1"/>
    <xf numFmtId="165" fontId="11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4" xfId="0" applyBorder="1"/>
    <xf numFmtId="0" fontId="0" fillId="0" borderId="39" xfId="0" applyBorder="1"/>
    <xf numFmtId="165" fontId="4" fillId="0" borderId="0" xfId="1" applyNumberFormat="1" applyFont="1" applyBorder="1"/>
    <xf numFmtId="0" fontId="4" fillId="0" borderId="0" xfId="0" applyFont="1" applyBorder="1"/>
    <xf numFmtId="165" fontId="67" fillId="0" borderId="0" xfId="5" applyNumberFormat="1" applyFont="1" applyFill="1" applyBorder="1" applyAlignment="1"/>
    <xf numFmtId="4" fontId="43" fillId="0" borderId="19" xfId="0" applyNumberFormat="1" applyFont="1" applyBorder="1" applyAlignment="1">
      <alignment horizontal="center"/>
    </xf>
    <xf numFmtId="3" fontId="43" fillId="0" borderId="19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/>
    </xf>
    <xf numFmtId="0" fontId="54" fillId="0" borderId="29" xfId="0" applyFont="1" applyFill="1" applyBorder="1" applyAlignment="1">
      <alignment wrapText="1"/>
    </xf>
    <xf numFmtId="165" fontId="14" fillId="0" borderId="22" xfId="1" applyNumberFormat="1" applyFont="1" applyFill="1" applyBorder="1"/>
    <xf numFmtId="165" fontId="14" fillId="0" borderId="34" xfId="1" applyNumberFormat="1" applyFont="1" applyFill="1" applyBorder="1"/>
    <xf numFmtId="165" fontId="14" fillId="0" borderId="48" xfId="1" applyNumberFormat="1" applyFont="1" applyFill="1" applyBorder="1"/>
    <xf numFmtId="165" fontId="14" fillId="0" borderId="40" xfId="1" applyNumberFormat="1" applyFont="1" applyFill="1" applyBorder="1"/>
    <xf numFmtId="0" fontId="7" fillId="0" borderId="4" xfId="0" applyFont="1" applyBorder="1" applyAlignment="1">
      <alignment horizontal="center" vertical="center"/>
    </xf>
    <xf numFmtId="165" fontId="73" fillId="0" borderId="0" xfId="1" applyNumberFormat="1" applyFont="1" applyFill="1" applyBorder="1"/>
    <xf numFmtId="165" fontId="14" fillId="0" borderId="8" xfId="1" applyNumberFormat="1" applyFont="1" applyFill="1" applyBorder="1"/>
    <xf numFmtId="0" fontId="5" fillId="0" borderId="0" xfId="0" applyFont="1" applyFill="1"/>
    <xf numFmtId="0" fontId="5" fillId="0" borderId="7" xfId="0" applyFont="1" applyFill="1" applyBorder="1" applyAlignment="1">
      <alignment horizontal="right"/>
    </xf>
    <xf numFmtId="165" fontId="5" fillId="0" borderId="42" xfId="1" applyNumberFormat="1" applyFont="1" applyFill="1" applyBorder="1"/>
    <xf numFmtId="165" fontId="6" fillId="0" borderId="8" xfId="1" applyNumberFormat="1" applyFont="1" applyFill="1" applyBorder="1"/>
    <xf numFmtId="165" fontId="6" fillId="0" borderId="16" xfId="1" applyNumberFormat="1" applyFont="1" applyFill="1" applyBorder="1" applyAlignment="1">
      <alignment horizontal="center" vertical="center" wrapText="1"/>
    </xf>
    <xf numFmtId="3" fontId="5" fillId="0" borderId="39" xfId="0" applyNumberFormat="1" applyFont="1" applyFill="1" applyBorder="1" applyAlignment="1">
      <alignment horizontal="center"/>
    </xf>
    <xf numFmtId="165" fontId="5" fillId="0" borderId="40" xfId="1" applyNumberFormat="1" applyFont="1" applyFill="1" applyBorder="1" applyAlignment="1">
      <alignment horizontal="center"/>
    </xf>
    <xf numFmtId="165" fontId="6" fillId="0" borderId="16" xfId="1" applyNumberFormat="1" applyFont="1" applyFill="1" applyBorder="1"/>
    <xf numFmtId="165" fontId="5" fillId="0" borderId="0" xfId="1" applyNumberFormat="1" applyFont="1" applyFill="1"/>
    <xf numFmtId="3" fontId="6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/>
    <xf numFmtId="0" fontId="7" fillId="0" borderId="8" xfId="0" applyFont="1" applyBorder="1" applyAlignment="1">
      <alignment horizontal="center" vertical="center" wrapText="1"/>
    </xf>
    <xf numFmtId="165" fontId="69" fillId="0" borderId="0" xfId="4" applyNumberFormat="1" applyFont="1" applyFill="1" applyBorder="1" applyAlignment="1"/>
    <xf numFmtId="0" fontId="14" fillId="0" borderId="59" xfId="0" applyFont="1" applyBorder="1" applyAlignment="1">
      <alignment horizontal="center"/>
    </xf>
    <xf numFmtId="165" fontId="14" fillId="0" borderId="24" xfId="4" applyNumberFormat="1" applyFont="1" applyFill="1" applyBorder="1"/>
    <xf numFmtId="165" fontId="7" fillId="2" borderId="6" xfId="4" applyNumberFormat="1" applyFont="1" applyFill="1" applyBorder="1"/>
    <xf numFmtId="0" fontId="14" fillId="0" borderId="2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5" fontId="7" fillId="2" borderId="6" xfId="4" applyNumberFormat="1" applyFont="1" applyFill="1" applyBorder="1" applyAlignment="1">
      <alignment horizontal="right"/>
    </xf>
    <xf numFmtId="49" fontId="14" fillId="0" borderId="46" xfId="0" applyNumberFormat="1" applyFont="1" applyBorder="1" applyAlignment="1">
      <alignment horizontal="center"/>
    </xf>
    <xf numFmtId="0" fontId="14" fillId="0" borderId="71" xfId="0" applyFont="1" applyBorder="1" applyAlignment="1">
      <alignment horizontal="left" vertical="center"/>
    </xf>
    <xf numFmtId="0" fontId="14" fillId="0" borderId="3" xfId="0" applyFont="1" applyBorder="1"/>
    <xf numFmtId="165" fontId="14" fillId="2" borderId="55" xfId="1" applyNumberFormat="1" applyFont="1" applyFill="1" applyBorder="1" applyAlignment="1">
      <alignment horizontal="center" vertical="center"/>
    </xf>
    <xf numFmtId="165" fontId="14" fillId="2" borderId="44" xfId="1" applyNumberFormat="1" applyFont="1" applyFill="1" applyBorder="1"/>
    <xf numFmtId="0" fontId="14" fillId="0" borderId="65" xfId="0" applyFont="1" applyBorder="1" applyAlignment="1">
      <alignment wrapText="1"/>
    </xf>
    <xf numFmtId="49" fontId="14" fillId="0" borderId="24" xfId="0" applyNumberFormat="1" applyFont="1" applyFill="1" applyBorder="1" applyAlignment="1">
      <alignment horizontal="center"/>
    </xf>
    <xf numFmtId="165" fontId="14" fillId="0" borderId="55" xfId="1" applyNumberFormat="1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9" fontId="14" fillId="2" borderId="55" xfId="0" applyNumberFormat="1" applyFont="1" applyFill="1" applyBorder="1" applyAlignment="1">
      <alignment horizontal="center"/>
    </xf>
    <xf numFmtId="49" fontId="14" fillId="0" borderId="44" xfId="0" applyNumberFormat="1" applyFont="1" applyBorder="1" applyAlignment="1">
      <alignment horizontal="center"/>
    </xf>
    <xf numFmtId="3" fontId="5" fillId="2" borderId="0" xfId="0" applyNumberFormat="1" applyFont="1" applyFill="1" applyBorder="1" applyAlignment="1"/>
    <xf numFmtId="167" fontId="34" fillId="0" borderId="0" xfId="0" applyNumberFormat="1" applyFont="1"/>
    <xf numFmtId="0" fontId="34" fillId="0" borderId="0" xfId="0" applyFont="1" applyAlignment="1">
      <alignment horizontal="center"/>
    </xf>
    <xf numFmtId="4" fontId="43" fillId="0" borderId="18" xfId="0" applyNumberFormat="1" applyFont="1" applyBorder="1" applyAlignment="1">
      <alignment horizontal="center"/>
    </xf>
    <xf numFmtId="3" fontId="43" fillId="0" borderId="18" xfId="0" applyNumberFormat="1" applyFont="1" applyBorder="1" applyAlignment="1">
      <alignment horizontal="right"/>
    </xf>
    <xf numFmtId="3" fontId="63" fillId="2" borderId="45" xfId="0" applyNumberFormat="1" applyFont="1" applyFill="1" applyBorder="1" applyAlignment="1">
      <alignment horizontal="right"/>
    </xf>
    <xf numFmtId="3" fontId="13" fillId="0" borderId="39" xfId="0" applyNumberFormat="1" applyFont="1" applyFill="1" applyBorder="1" applyAlignment="1">
      <alignment horizontal="right"/>
    </xf>
    <xf numFmtId="3" fontId="14" fillId="0" borderId="39" xfId="0" applyNumberFormat="1" applyFont="1" applyFill="1" applyBorder="1" applyAlignment="1">
      <alignment horizontal="right"/>
    </xf>
    <xf numFmtId="3" fontId="16" fillId="0" borderId="40" xfId="0" applyNumberFormat="1" applyFont="1" applyFill="1" applyBorder="1"/>
    <xf numFmtId="3" fontId="14" fillId="0" borderId="45" xfId="0" applyNumberFormat="1" applyFont="1" applyFill="1" applyBorder="1" applyAlignment="1">
      <alignment horizontal="right"/>
    </xf>
    <xf numFmtId="3" fontId="14" fillId="0" borderId="39" xfId="0" applyNumberFormat="1" applyFont="1" applyFill="1" applyBorder="1"/>
    <xf numFmtId="3" fontId="16" fillId="0" borderId="42" xfId="0" applyNumberFormat="1" applyFont="1" applyFill="1" applyBorder="1"/>
    <xf numFmtId="3" fontId="14" fillId="0" borderId="34" xfId="0" applyNumberFormat="1" applyFont="1" applyFill="1" applyBorder="1"/>
    <xf numFmtId="0" fontId="14" fillId="0" borderId="13" xfId="0" applyFont="1" applyBorder="1" applyAlignment="1">
      <alignment horizontal="center"/>
    </xf>
    <xf numFmtId="3" fontId="14" fillId="0" borderId="13" xfId="0" applyNumberFormat="1" applyFont="1" applyFill="1" applyBorder="1"/>
    <xf numFmtId="0" fontId="75" fillId="0" borderId="0" xfId="3" applyFont="1" applyFill="1"/>
    <xf numFmtId="164" fontId="74" fillId="0" borderId="0" xfId="3" applyNumberFormat="1" applyFont="1" applyFill="1" applyBorder="1" applyAlignment="1" applyProtection="1">
      <alignment horizontal="centerContinuous" vertical="center"/>
    </xf>
    <xf numFmtId="0" fontId="77" fillId="0" borderId="0" xfId="7" applyFont="1" applyFill="1" applyBorder="1" applyAlignment="1" applyProtection="1"/>
    <xf numFmtId="0" fontId="78" fillId="0" borderId="0" xfId="7" applyFont="1" applyFill="1" applyBorder="1" applyAlignment="1" applyProtection="1">
      <alignment horizontal="right"/>
    </xf>
    <xf numFmtId="0" fontId="79" fillId="0" borderId="22" xfId="3" applyFont="1" applyFill="1" applyBorder="1" applyAlignment="1" applyProtection="1">
      <alignment horizontal="center" vertical="center" wrapText="1"/>
    </xf>
    <xf numFmtId="0" fontId="79" fillId="0" borderId="19" xfId="3" applyFont="1" applyFill="1" applyBorder="1" applyAlignment="1" applyProtection="1">
      <alignment horizontal="center" vertical="center" wrapText="1"/>
    </xf>
    <xf numFmtId="0" fontId="79" fillId="0" borderId="34" xfId="3" applyFont="1" applyFill="1" applyBorder="1" applyAlignment="1" applyProtection="1">
      <alignment horizontal="center" vertical="center" wrapText="1"/>
    </xf>
    <xf numFmtId="0" fontId="80" fillId="0" borderId="14" xfId="3" applyFont="1" applyFill="1" applyBorder="1" applyAlignment="1" applyProtection="1">
      <alignment horizontal="center" vertical="center"/>
    </xf>
    <xf numFmtId="0" fontId="80" fillId="0" borderId="15" xfId="3" applyFont="1" applyFill="1" applyBorder="1" applyAlignment="1" applyProtection="1">
      <alignment horizontal="center" vertical="center"/>
    </xf>
    <xf numFmtId="0" fontId="80" fillId="0" borderId="28" xfId="3" applyFont="1" applyFill="1" applyBorder="1" applyAlignment="1" applyProtection="1">
      <alignment horizontal="center" vertical="center"/>
    </xf>
    <xf numFmtId="0" fontId="81" fillId="0" borderId="2" xfId="3" applyFont="1" applyFill="1" applyBorder="1" applyAlignment="1">
      <alignment horizontal="center"/>
    </xf>
    <xf numFmtId="0" fontId="81" fillId="0" borderId="4" xfId="3" applyFont="1" applyFill="1" applyBorder="1" applyAlignment="1">
      <alignment horizontal="center"/>
    </xf>
    <xf numFmtId="0" fontId="81" fillId="0" borderId="72" xfId="3" applyFont="1" applyFill="1" applyBorder="1" applyAlignment="1">
      <alignment horizontal="center"/>
    </xf>
    <xf numFmtId="0" fontId="80" fillId="0" borderId="22" xfId="3" applyFont="1" applyFill="1" applyBorder="1" applyAlignment="1" applyProtection="1">
      <alignment horizontal="center" vertical="center"/>
    </xf>
    <xf numFmtId="0" fontId="80" fillId="0" borderId="30" xfId="3" applyFont="1" applyFill="1" applyBorder="1" applyProtection="1"/>
    <xf numFmtId="165" fontId="80" fillId="0" borderId="22" xfId="1" applyNumberFormat="1" applyFont="1" applyFill="1" applyBorder="1" applyProtection="1">
      <protection locked="0"/>
    </xf>
    <xf numFmtId="0" fontId="80" fillId="0" borderId="23" xfId="3" applyFont="1" applyFill="1" applyBorder="1" applyAlignment="1" applyProtection="1">
      <alignment horizontal="center" vertical="center"/>
    </xf>
    <xf numFmtId="0" fontId="80" fillId="0" borderId="29" xfId="3" applyFont="1" applyFill="1" applyBorder="1" applyProtection="1"/>
    <xf numFmtId="165" fontId="80" fillId="0" borderId="23" xfId="1" applyNumberFormat="1" applyFont="1" applyFill="1" applyBorder="1" applyProtection="1">
      <protection locked="0"/>
    </xf>
    <xf numFmtId="0" fontId="82" fillId="0" borderId="0" xfId="3" applyFont="1" applyFill="1"/>
    <xf numFmtId="0" fontId="80" fillId="0" borderId="29" xfId="3" applyFont="1" applyFill="1" applyBorder="1" applyAlignment="1" applyProtection="1">
      <alignment wrapText="1"/>
    </xf>
    <xf numFmtId="0" fontId="80" fillId="0" borderId="35" xfId="3" applyFont="1" applyFill="1" applyBorder="1" applyAlignment="1" applyProtection="1">
      <alignment horizontal="center" vertical="center"/>
    </xf>
    <xf numFmtId="0" fontId="80" fillId="0" borderId="49" xfId="3" applyFont="1" applyFill="1" applyBorder="1" applyProtection="1"/>
    <xf numFmtId="165" fontId="80" fillId="0" borderId="48" xfId="1" applyNumberFormat="1" applyFont="1" applyFill="1" applyBorder="1" applyProtection="1">
      <protection locked="0"/>
    </xf>
    <xf numFmtId="165" fontId="83" fillId="0" borderId="43" xfId="1" applyNumberFormat="1" applyFont="1" applyFill="1" applyBorder="1" applyProtection="1"/>
    <xf numFmtId="0" fontId="84" fillId="0" borderId="0" xfId="3" applyFont="1" applyFill="1"/>
    <xf numFmtId="165" fontId="83" fillId="0" borderId="8" xfId="1" applyNumberFormat="1" applyFont="1" applyFill="1" applyBorder="1"/>
    <xf numFmtId="0" fontId="83" fillId="0" borderId="0" xfId="3" applyFont="1" applyFill="1"/>
    <xf numFmtId="9" fontId="83" fillId="0" borderId="8" xfId="1" applyNumberFormat="1" applyFont="1" applyFill="1" applyBorder="1" applyAlignment="1">
      <alignment horizontal="center"/>
    </xf>
    <xf numFmtId="0" fontId="28" fillId="2" borderId="55" xfId="0" applyFont="1" applyFill="1" applyBorder="1" applyAlignment="1">
      <alignment horizontal="center" vertical="center" wrapText="1"/>
    </xf>
    <xf numFmtId="0" fontId="35" fillId="2" borderId="25" xfId="0" applyFont="1" applyFill="1" applyBorder="1" applyAlignment="1">
      <alignment horizontal="center" vertical="center" wrapText="1"/>
    </xf>
    <xf numFmtId="3" fontId="28" fillId="2" borderId="31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3" xfId="0" applyNumberFormat="1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left" wrapText="1"/>
    </xf>
    <xf numFmtId="0" fontId="0" fillId="0" borderId="65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13" fillId="0" borderId="23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22" xfId="0" applyFont="1" applyBorder="1" applyAlignment="1">
      <alignment horizontal="left" wrapText="1"/>
    </xf>
    <xf numFmtId="0" fontId="13" fillId="0" borderId="19" xfId="0" applyFont="1" applyBorder="1" applyAlignment="1">
      <alignment horizontal="left" wrapText="1"/>
    </xf>
    <xf numFmtId="0" fontId="16" fillId="0" borderId="35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4" fillId="0" borderId="23" xfId="0" applyFont="1" applyBorder="1" applyAlignment="1"/>
    <xf numFmtId="0" fontId="14" fillId="0" borderId="13" xfId="0" applyFont="1" applyBorder="1" applyAlignment="1"/>
    <xf numFmtId="0" fontId="14" fillId="0" borderId="59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23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6" fillId="0" borderId="48" xfId="0" applyFont="1" applyBorder="1" applyAlignment="1">
      <alignment horizontal="center" wrapText="1"/>
    </xf>
    <xf numFmtId="0" fontId="16" fillId="0" borderId="32" xfId="0" applyFont="1" applyBorder="1" applyAlignment="1">
      <alignment horizontal="center" wrapText="1"/>
    </xf>
    <xf numFmtId="0" fontId="66" fillId="0" borderId="0" xfId="0" applyFont="1" applyAlignment="1">
      <alignment horizontal="center"/>
    </xf>
    <xf numFmtId="0" fontId="43" fillId="0" borderId="22" xfId="0" applyFont="1" applyBorder="1" applyAlignment="1">
      <alignment horizontal="left" wrapText="1"/>
    </xf>
    <xf numFmtId="0" fontId="43" fillId="0" borderId="19" xfId="0" applyFont="1" applyBorder="1" applyAlignment="1">
      <alignment horizontal="left" wrapText="1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47" fillId="0" borderId="12" xfId="0" applyFont="1" applyBorder="1" applyAlignment="1">
      <alignment horizontal="left"/>
    </xf>
    <xf numFmtId="0" fontId="47" fillId="0" borderId="64" xfId="0" applyFont="1" applyBorder="1" applyAlignment="1">
      <alignment horizontal="left"/>
    </xf>
    <xf numFmtId="0" fontId="47" fillId="0" borderId="37" xfId="0" applyFont="1" applyBorder="1" applyAlignment="1">
      <alignment horizontal="left"/>
    </xf>
    <xf numFmtId="0" fontId="0" fillId="0" borderId="13" xfId="0" applyFont="1" applyBorder="1" applyAlignment="1">
      <alignment horizontal="left" wrapText="1"/>
    </xf>
    <xf numFmtId="0" fontId="13" fillId="0" borderId="11" xfId="0" applyFont="1" applyBorder="1" applyAlignment="1"/>
    <xf numFmtId="0" fontId="13" fillId="0" borderId="65" xfId="0" applyFont="1" applyBorder="1" applyAlignment="1"/>
    <xf numFmtId="0" fontId="13" fillId="0" borderId="36" xfId="0" applyFont="1" applyBorder="1" applyAlignment="1"/>
    <xf numFmtId="0" fontId="19" fillId="0" borderId="62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5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7" fillId="0" borderId="55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164" fontId="15" fillId="0" borderId="0" xfId="3" applyNumberFormat="1" applyFont="1" applyFill="1" applyBorder="1" applyAlignment="1" applyProtection="1">
      <alignment horizontal="center" vertical="center"/>
    </xf>
    <xf numFmtId="0" fontId="15" fillId="0" borderId="9" xfId="3" applyFont="1" applyFill="1" applyBorder="1" applyAlignment="1" applyProtection="1">
      <alignment horizontal="left" vertical="center" wrapText="1"/>
    </xf>
    <xf numFmtId="0" fontId="15" fillId="0" borderId="41" xfId="3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horizontal="center"/>
    </xf>
    <xf numFmtId="0" fontId="60" fillId="0" borderId="26" xfId="0" applyFont="1" applyFill="1" applyBorder="1" applyAlignment="1">
      <alignment horizontal="right"/>
    </xf>
    <xf numFmtId="0" fontId="60" fillId="0" borderId="1" xfId="0" applyFont="1" applyFill="1" applyBorder="1" applyAlignment="1">
      <alignment horizontal="right"/>
    </xf>
    <xf numFmtId="0" fontId="60" fillId="0" borderId="31" xfId="0" applyFont="1" applyFill="1" applyBorder="1" applyAlignment="1">
      <alignment horizontal="right"/>
    </xf>
    <xf numFmtId="0" fontId="60" fillId="0" borderId="7" xfId="0" applyFont="1" applyFill="1" applyBorder="1" applyAlignment="1">
      <alignment horizontal="right"/>
    </xf>
    <xf numFmtId="165" fontId="60" fillId="0" borderId="52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3" fontId="38" fillId="0" borderId="0" xfId="0" applyNumberFormat="1" applyFont="1" applyAlignment="1">
      <alignment horizontal="lef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37" fillId="0" borderId="0" xfId="0" applyFont="1" applyAlignment="1">
      <alignment horizontal="center"/>
    </xf>
    <xf numFmtId="164" fontId="74" fillId="0" borderId="0" xfId="3" applyNumberFormat="1" applyFont="1" applyFill="1" applyBorder="1" applyAlignment="1" applyProtection="1">
      <alignment horizontal="center" vertical="center" wrapText="1"/>
    </xf>
    <xf numFmtId="0" fontId="83" fillId="0" borderId="14" xfId="3" applyFont="1" applyFill="1" applyBorder="1" applyAlignment="1" applyProtection="1">
      <alignment horizontal="left"/>
    </xf>
    <xf numFmtId="0" fontId="83" fillId="0" borderId="15" xfId="3" applyFont="1" applyFill="1" applyBorder="1" applyAlignment="1" applyProtection="1">
      <alignment horizontal="left"/>
    </xf>
    <xf numFmtId="0" fontId="83" fillId="0" borderId="9" xfId="3" applyFont="1" applyFill="1" applyBorder="1" applyAlignment="1">
      <alignment horizontal="center" wrapText="1"/>
    </xf>
    <xf numFmtId="0" fontId="83" fillId="0" borderId="33" xfId="3" applyFont="1" applyFill="1" applyBorder="1" applyAlignment="1">
      <alignment horizontal="center" wrapText="1"/>
    </xf>
    <xf numFmtId="0" fontId="83" fillId="0" borderId="9" xfId="3" applyFont="1" applyFill="1" applyBorder="1" applyAlignment="1">
      <alignment horizontal="center"/>
    </xf>
    <xf numFmtId="0" fontId="83" fillId="0" borderId="41" xfId="3" applyFont="1" applyFill="1" applyBorder="1" applyAlignment="1">
      <alignment horizontal="center"/>
    </xf>
  </cellXfs>
  <cellStyles count="8">
    <cellStyle name="Ezres" xfId="1" builtinId="3"/>
    <cellStyle name="Ezres 2" xfId="2"/>
    <cellStyle name="Ezres 2 2" xfId="4"/>
    <cellStyle name="Ezres 2 3" xfId="6"/>
    <cellStyle name="Normál" xfId="0" builtinId="0"/>
    <cellStyle name="Normál 2" xfId="5"/>
    <cellStyle name="Normál_Adósságotkeletkeztető1" xfId="7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6038195" y="1693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9</xdr:row>
      <xdr:rowOff>139065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6038195" y="2135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4" name="Szövegdoboz 3"/>
        <xdr:cNvSpPr txBox="1"/>
      </xdr:nvSpPr>
      <xdr:spPr>
        <a:xfrm>
          <a:off x="16038195" y="250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6038195" y="3110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6038195" y="32785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7" name="Szövegdoboz 6"/>
        <xdr:cNvSpPr txBox="1"/>
      </xdr:nvSpPr>
      <xdr:spPr>
        <a:xfrm>
          <a:off x="16038195" y="3446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8" name="Szövegdoboz 7"/>
        <xdr:cNvSpPr txBox="1"/>
      </xdr:nvSpPr>
      <xdr:spPr>
        <a:xfrm>
          <a:off x="16038195" y="39566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9" name="Szövegdoboz 8"/>
        <xdr:cNvSpPr txBox="1"/>
      </xdr:nvSpPr>
      <xdr:spPr>
        <a:xfrm>
          <a:off x="16038195" y="46653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10" name="Szövegdoboz 9"/>
        <xdr:cNvSpPr txBox="1"/>
      </xdr:nvSpPr>
      <xdr:spPr>
        <a:xfrm>
          <a:off x="16038195" y="49168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11" name="Szövegdoboz 10"/>
        <xdr:cNvSpPr txBox="1"/>
      </xdr:nvSpPr>
      <xdr:spPr>
        <a:xfrm>
          <a:off x="16038195" y="50844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18</xdr:row>
      <xdr:rowOff>139065</xdr:rowOff>
    </xdr:from>
    <xdr:ext cx="184731" cy="264560"/>
    <xdr:sp macro="" textlink="">
      <xdr:nvSpPr>
        <xdr:cNvPr id="12" name="Szövegdoboz 11"/>
        <xdr:cNvSpPr txBox="1"/>
      </xdr:nvSpPr>
      <xdr:spPr>
        <a:xfrm>
          <a:off x="16038195" y="52520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19</xdr:row>
      <xdr:rowOff>139065</xdr:rowOff>
    </xdr:from>
    <xdr:ext cx="184731" cy="264560"/>
    <xdr:sp macro="" textlink="">
      <xdr:nvSpPr>
        <xdr:cNvPr id="13" name="Szövegdoboz 12"/>
        <xdr:cNvSpPr txBox="1"/>
      </xdr:nvSpPr>
      <xdr:spPr>
        <a:xfrm>
          <a:off x="16038195" y="5419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20</xdr:row>
      <xdr:rowOff>139065</xdr:rowOff>
    </xdr:from>
    <xdr:ext cx="184731" cy="264560"/>
    <xdr:sp macro="" textlink="">
      <xdr:nvSpPr>
        <xdr:cNvPr id="14" name="Szövegdoboz 13"/>
        <xdr:cNvSpPr txBox="1"/>
      </xdr:nvSpPr>
      <xdr:spPr>
        <a:xfrm>
          <a:off x="16038195" y="5587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21</xdr:row>
      <xdr:rowOff>139065</xdr:rowOff>
    </xdr:from>
    <xdr:ext cx="184731" cy="264560"/>
    <xdr:sp macro="" textlink="">
      <xdr:nvSpPr>
        <xdr:cNvPr id="15" name="Szövegdoboz 14"/>
        <xdr:cNvSpPr txBox="1"/>
      </xdr:nvSpPr>
      <xdr:spPr>
        <a:xfrm>
          <a:off x="16038195" y="5755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16" name="Szövegdoboz 15"/>
        <xdr:cNvSpPr txBox="1"/>
      </xdr:nvSpPr>
      <xdr:spPr>
        <a:xfrm>
          <a:off x="16038195" y="5922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17" name="Szövegdoboz 16"/>
        <xdr:cNvSpPr txBox="1"/>
      </xdr:nvSpPr>
      <xdr:spPr>
        <a:xfrm>
          <a:off x="16038195" y="6311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18" name="Szövegdoboz 17"/>
        <xdr:cNvSpPr txBox="1"/>
      </xdr:nvSpPr>
      <xdr:spPr>
        <a:xfrm>
          <a:off x="16038195" y="6577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19" name="Szövegdoboz 18"/>
        <xdr:cNvSpPr txBox="1"/>
      </xdr:nvSpPr>
      <xdr:spPr>
        <a:xfrm>
          <a:off x="16038195" y="68065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20" name="Szövegdoboz 19"/>
        <xdr:cNvSpPr txBox="1"/>
      </xdr:nvSpPr>
      <xdr:spPr>
        <a:xfrm>
          <a:off x="16038195" y="69742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21" name="Szövegdoboz 20"/>
        <xdr:cNvSpPr txBox="1"/>
      </xdr:nvSpPr>
      <xdr:spPr>
        <a:xfrm>
          <a:off x="16038195" y="72409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22" name="Szövegdoboz 21"/>
        <xdr:cNvSpPr txBox="1"/>
      </xdr:nvSpPr>
      <xdr:spPr>
        <a:xfrm>
          <a:off x="16038195" y="74085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23" name="Szövegdoboz 22"/>
        <xdr:cNvSpPr txBox="1"/>
      </xdr:nvSpPr>
      <xdr:spPr>
        <a:xfrm>
          <a:off x="16038195" y="78733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24" name="Szövegdoboz 23"/>
        <xdr:cNvSpPr txBox="1"/>
      </xdr:nvSpPr>
      <xdr:spPr>
        <a:xfrm>
          <a:off x="16038195" y="80410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25" name="Szövegdoboz 24"/>
        <xdr:cNvSpPr txBox="1"/>
      </xdr:nvSpPr>
      <xdr:spPr>
        <a:xfrm>
          <a:off x="16038195" y="82086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26" name="Szövegdoboz 25"/>
        <xdr:cNvSpPr txBox="1"/>
      </xdr:nvSpPr>
      <xdr:spPr>
        <a:xfrm>
          <a:off x="16038195" y="837628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27" name="Szövegdoboz 26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28" name="Szövegdoboz 27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29" name="Szövegdoboz 28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0" name="Szövegdoboz 29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1" name="Szövegdoboz 30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2" name="Szövegdoboz 31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33" name="Szövegdoboz 32"/>
        <xdr:cNvSpPr txBox="1"/>
      </xdr:nvSpPr>
      <xdr:spPr>
        <a:xfrm>
          <a:off x="15432723" y="21393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10</xdr:row>
      <xdr:rowOff>139065</xdr:rowOff>
    </xdr:from>
    <xdr:ext cx="184731" cy="264560"/>
    <xdr:sp macro="" textlink="">
      <xdr:nvSpPr>
        <xdr:cNvPr id="34" name="Szövegdoboz 33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11</xdr:row>
      <xdr:rowOff>139065</xdr:rowOff>
    </xdr:from>
    <xdr:ext cx="184731" cy="264560"/>
    <xdr:sp macro="" textlink="">
      <xdr:nvSpPr>
        <xdr:cNvPr id="35" name="Szövegdoboz 34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12</xdr:row>
      <xdr:rowOff>139065</xdr:rowOff>
    </xdr:from>
    <xdr:ext cx="184731" cy="264560"/>
    <xdr:sp macro="" textlink="">
      <xdr:nvSpPr>
        <xdr:cNvPr id="36" name="Szövegdoboz 35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13</xdr:row>
      <xdr:rowOff>139065</xdr:rowOff>
    </xdr:from>
    <xdr:ext cx="184731" cy="264560"/>
    <xdr:sp macro="" textlink="">
      <xdr:nvSpPr>
        <xdr:cNvPr id="37" name="Szövegdoboz 36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14</xdr:row>
      <xdr:rowOff>139065</xdr:rowOff>
    </xdr:from>
    <xdr:ext cx="184731" cy="264560"/>
    <xdr:sp macro="" textlink="">
      <xdr:nvSpPr>
        <xdr:cNvPr id="38" name="Szövegdoboz 37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15</xdr:row>
      <xdr:rowOff>139065</xdr:rowOff>
    </xdr:from>
    <xdr:ext cx="184731" cy="264560"/>
    <xdr:sp macro="" textlink="">
      <xdr:nvSpPr>
        <xdr:cNvPr id="39" name="Szövegdoboz 38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16</xdr:row>
      <xdr:rowOff>139065</xdr:rowOff>
    </xdr:from>
    <xdr:ext cx="184731" cy="264560"/>
    <xdr:sp macro="" textlink="">
      <xdr:nvSpPr>
        <xdr:cNvPr id="40" name="Szövegdoboz 39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17</xdr:row>
      <xdr:rowOff>139065</xdr:rowOff>
    </xdr:from>
    <xdr:ext cx="184731" cy="264560"/>
    <xdr:sp macro="" textlink="">
      <xdr:nvSpPr>
        <xdr:cNvPr id="41" name="Szövegdoboz 40"/>
        <xdr:cNvSpPr txBox="1"/>
      </xdr:nvSpPr>
      <xdr:spPr>
        <a:xfrm>
          <a:off x="15862935" y="21329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22</xdr:row>
      <xdr:rowOff>139065</xdr:rowOff>
    </xdr:from>
    <xdr:ext cx="184731" cy="264560"/>
    <xdr:sp macro="" textlink="">
      <xdr:nvSpPr>
        <xdr:cNvPr id="42" name="Szövegdoboz 41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43" name="Szövegdoboz 42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23</xdr:row>
      <xdr:rowOff>139065</xdr:rowOff>
    </xdr:from>
    <xdr:ext cx="184731" cy="264560"/>
    <xdr:sp macro="" textlink="">
      <xdr:nvSpPr>
        <xdr:cNvPr id="44" name="Szövegdoboz 43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45" name="Szövegdoboz 44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46" name="Szövegdoboz 45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24</xdr:row>
      <xdr:rowOff>139065</xdr:rowOff>
    </xdr:from>
    <xdr:ext cx="184731" cy="264560"/>
    <xdr:sp macro="" textlink="">
      <xdr:nvSpPr>
        <xdr:cNvPr id="47" name="Szövegdoboz 46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48" name="Szövegdoboz 47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49" name="Szövegdoboz 48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25</xdr:row>
      <xdr:rowOff>139065</xdr:rowOff>
    </xdr:from>
    <xdr:ext cx="184731" cy="264560"/>
    <xdr:sp macro="" textlink="">
      <xdr:nvSpPr>
        <xdr:cNvPr id="50" name="Szövegdoboz 49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51" name="Szövegdoboz 50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52" name="Szövegdoboz 51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26</xdr:row>
      <xdr:rowOff>139065</xdr:rowOff>
    </xdr:from>
    <xdr:ext cx="184731" cy="264560"/>
    <xdr:sp macro="" textlink="">
      <xdr:nvSpPr>
        <xdr:cNvPr id="53" name="Szövegdoboz 52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54" name="Szövegdoboz 53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55" name="Szövegdoboz 54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27</xdr:row>
      <xdr:rowOff>139065</xdr:rowOff>
    </xdr:from>
    <xdr:ext cx="184731" cy="264560"/>
    <xdr:sp macro="" textlink="">
      <xdr:nvSpPr>
        <xdr:cNvPr id="56" name="Szövegdoboz 55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57" name="Szövegdoboz 56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58" name="Szövegdoboz 57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28</xdr:row>
      <xdr:rowOff>139065</xdr:rowOff>
    </xdr:from>
    <xdr:ext cx="184731" cy="264560"/>
    <xdr:sp macro="" textlink="">
      <xdr:nvSpPr>
        <xdr:cNvPr id="59" name="Szövegdoboz 58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60" name="Szövegdoboz 59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61" name="Szövegdoboz 60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29</xdr:row>
      <xdr:rowOff>139065</xdr:rowOff>
    </xdr:from>
    <xdr:ext cx="184731" cy="264560"/>
    <xdr:sp macro="" textlink="">
      <xdr:nvSpPr>
        <xdr:cNvPr id="62" name="Szövegdoboz 61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63" name="Szövegdoboz 62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64" name="Szövegdoboz 63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30</xdr:row>
      <xdr:rowOff>139065</xdr:rowOff>
    </xdr:from>
    <xdr:ext cx="184731" cy="264560"/>
    <xdr:sp macro="" textlink="">
      <xdr:nvSpPr>
        <xdr:cNvPr id="65" name="Szövegdoboz 64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66" name="Szövegdoboz 65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67" name="Szövegdoboz 66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31</xdr:row>
      <xdr:rowOff>139065</xdr:rowOff>
    </xdr:from>
    <xdr:ext cx="184731" cy="264560"/>
    <xdr:sp macro="" textlink="">
      <xdr:nvSpPr>
        <xdr:cNvPr id="68" name="Szövegdoboz 67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69" name="Szövegdoboz 68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70" name="Szövegdoboz 69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32</xdr:row>
      <xdr:rowOff>139065</xdr:rowOff>
    </xdr:from>
    <xdr:ext cx="184731" cy="264560"/>
    <xdr:sp macro="" textlink="">
      <xdr:nvSpPr>
        <xdr:cNvPr id="71" name="Szövegdoboz 70"/>
        <xdr:cNvSpPr txBox="1"/>
      </xdr:nvSpPr>
      <xdr:spPr>
        <a:xfrm>
          <a:off x="15862935" y="57397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33</xdr:row>
      <xdr:rowOff>139065</xdr:rowOff>
    </xdr:from>
    <xdr:ext cx="184731" cy="264560"/>
    <xdr:sp macro="" textlink="">
      <xdr:nvSpPr>
        <xdr:cNvPr id="72" name="Szövegdoboz 71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  <xdr:oneCellAnchor>
    <xdr:from>
      <xdr:col>15</xdr:col>
      <xdr:colOff>470535</xdr:colOff>
      <xdr:row>33</xdr:row>
      <xdr:rowOff>139065</xdr:rowOff>
    </xdr:from>
    <xdr:ext cx="184731" cy="264560"/>
    <xdr:sp macro="" textlink="">
      <xdr:nvSpPr>
        <xdr:cNvPr id="73" name="Szövegdoboz 72"/>
        <xdr:cNvSpPr txBox="1"/>
      </xdr:nvSpPr>
      <xdr:spPr>
        <a:xfrm>
          <a:off x="15862935" y="59048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SUZSA/Desktop/2025.%20&#233;vi%20k&#246;lts&#233;gvet&#233;s/Rendelet/2025.03.27.%20&#233;vi%20k&#246;lts&#233;gvet&#233;si%20rendelet%20m&#243;dos&#237;t&#225;sa/K&#246;lts&#233;gvet&#233;si%20rendelet%20m&#243;dos&#237;t&#225;s/2025.&#233;vi_K&#246;lts&#233;gvet&#233;si_rendelet_mell&#233;klet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étel 1.melléklet"/>
      <sheetName val="Bevétel Önkorm.2.melléklet "/>
      <sheetName val="Bevétel Önk.köt.fel. 3. m."/>
      <sheetName val="Támogatás 4. melléklet"/>
      <sheetName val="Mérleg 5. melléklet"/>
      <sheetName val="Előirányzat felh. 6.melléklet"/>
      <sheetName val="mérleg 3 éves 7.melléklet"/>
      <sheetName val="Saját bevétel 50% 8.melléklet"/>
    </sheetNames>
    <sheetDataSet>
      <sheetData sheetId="0">
        <row r="23">
          <cell r="B23">
            <v>17240000</v>
          </cell>
        </row>
        <row r="24">
          <cell r="B24">
            <v>120433512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Layout" zoomScaleNormal="100" workbookViewId="0">
      <selection activeCell="H11" sqref="H11:H13"/>
    </sheetView>
  </sheetViews>
  <sheetFormatPr defaultRowHeight="14.25" x14ac:dyDescent="0.2"/>
  <cols>
    <col min="1" max="1" width="37.85546875" style="94" customWidth="1"/>
    <col min="2" max="2" width="15.28515625" style="94" customWidth="1"/>
    <col min="3" max="4" width="13.42578125" style="94" customWidth="1"/>
    <col min="5" max="5" width="17" style="106" customWidth="1"/>
    <col min="6" max="6" width="17.140625" style="128" bestFit="1" customWidth="1"/>
    <col min="8" max="8" width="16.85546875" style="331" bestFit="1" customWidth="1"/>
    <col min="10" max="10" width="14.7109375" style="331" bestFit="1" customWidth="1"/>
  </cols>
  <sheetData>
    <row r="1" spans="1:10" ht="37.5" customHeight="1" x14ac:dyDescent="0.25">
      <c r="A1" s="657" t="s">
        <v>201</v>
      </c>
      <c r="B1" s="657"/>
      <c r="C1" s="657"/>
      <c r="D1" s="657"/>
      <c r="E1" s="657"/>
    </row>
    <row r="2" spans="1:10" ht="15" x14ac:dyDescent="0.25">
      <c r="A2" s="102"/>
      <c r="B2" s="102"/>
      <c r="C2" s="102"/>
      <c r="D2" s="102"/>
      <c r="E2" s="103"/>
    </row>
    <row r="3" spans="1:10" ht="15" x14ac:dyDescent="0.25">
      <c r="A3" s="102"/>
      <c r="B3" s="102"/>
      <c r="C3" s="102"/>
      <c r="D3" s="102"/>
      <c r="E3" s="103"/>
    </row>
    <row r="4" spans="1:10" ht="18.75" customHeight="1" thickBot="1" x14ac:dyDescent="0.25">
      <c r="A4" s="129"/>
      <c r="B4" s="129"/>
      <c r="C4" s="498"/>
      <c r="D4" s="498"/>
      <c r="E4" s="511"/>
    </row>
    <row r="5" spans="1:10" s="57" customFormat="1" ht="12" customHeight="1" x14ac:dyDescent="0.2">
      <c r="A5" s="658" t="s">
        <v>109</v>
      </c>
      <c r="B5" s="660" t="s">
        <v>311</v>
      </c>
      <c r="C5" s="660" t="s">
        <v>312</v>
      </c>
      <c r="D5" s="660" t="s">
        <v>313</v>
      </c>
      <c r="E5" s="652" t="s">
        <v>314</v>
      </c>
      <c r="F5" s="99"/>
      <c r="H5" s="99"/>
      <c r="J5" s="99"/>
    </row>
    <row r="6" spans="1:10" s="57" customFormat="1" ht="51" customHeight="1" thickBot="1" x14ac:dyDescent="0.25">
      <c r="A6" s="659"/>
      <c r="B6" s="661"/>
      <c r="C6" s="661"/>
      <c r="D6" s="661"/>
      <c r="E6" s="653"/>
      <c r="F6" s="99"/>
      <c r="H6" s="99"/>
      <c r="J6" s="99"/>
    </row>
    <row r="7" spans="1:10" s="57" customFormat="1" ht="33.75" customHeight="1" thickBot="1" x14ac:dyDescent="0.3">
      <c r="A7" s="306" t="s">
        <v>77</v>
      </c>
      <c r="B7" s="189">
        <f>B8+B17+B16</f>
        <v>912602272</v>
      </c>
      <c r="C7" s="189">
        <f>C8+C17</f>
        <v>0</v>
      </c>
      <c r="D7" s="189">
        <f>D8+D17</f>
        <v>0</v>
      </c>
      <c r="E7" s="305">
        <f t="shared" ref="E7:E21" si="0">D7+C7+B7</f>
        <v>912602272</v>
      </c>
      <c r="F7" s="99"/>
      <c r="H7" s="99"/>
      <c r="J7" s="99"/>
    </row>
    <row r="8" spans="1:10" s="57" customFormat="1" ht="33.75" customHeight="1" x14ac:dyDescent="0.25">
      <c r="A8" s="188" t="s">
        <v>80</v>
      </c>
      <c r="B8" s="304">
        <f>SUM(B9:B14)</f>
        <v>382980191</v>
      </c>
      <c r="C8" s="304">
        <f t="shared" ref="C8:D8" si="1">SUM(C9:C14)</f>
        <v>0</v>
      </c>
      <c r="D8" s="304">
        <f t="shared" si="1"/>
        <v>0</v>
      </c>
      <c r="E8" s="401">
        <f t="shared" si="0"/>
        <v>382980191</v>
      </c>
      <c r="F8" s="99"/>
      <c r="H8" s="99"/>
      <c r="J8" s="99"/>
    </row>
    <row r="9" spans="1:10" s="57" customFormat="1" ht="36" customHeight="1" x14ac:dyDescent="0.25">
      <c r="A9" s="301" t="s">
        <v>78</v>
      </c>
      <c r="B9" s="190">
        <v>245316497</v>
      </c>
      <c r="C9" s="191"/>
      <c r="D9" s="221"/>
      <c r="E9" s="401">
        <f t="shared" si="0"/>
        <v>245316497</v>
      </c>
      <c r="F9" s="99"/>
      <c r="H9" s="99"/>
      <c r="J9" s="99"/>
    </row>
    <row r="10" spans="1:10" s="57" customFormat="1" ht="46.5" customHeight="1" x14ac:dyDescent="0.25">
      <c r="A10" s="301" t="s">
        <v>326</v>
      </c>
      <c r="B10" s="192">
        <v>68099855</v>
      </c>
      <c r="C10" s="191"/>
      <c r="D10" s="221"/>
      <c r="E10" s="310">
        <f t="shared" si="0"/>
        <v>68099855</v>
      </c>
      <c r="F10" s="99"/>
      <c r="H10" s="99"/>
      <c r="J10" s="99"/>
    </row>
    <row r="11" spans="1:10" s="57" customFormat="1" ht="46.5" customHeight="1" x14ac:dyDescent="0.25">
      <c r="A11" s="301" t="s">
        <v>327</v>
      </c>
      <c r="B11" s="192">
        <v>7765680</v>
      </c>
      <c r="C11" s="191"/>
      <c r="D11" s="221"/>
      <c r="E11" s="310">
        <f t="shared" si="0"/>
        <v>7765680</v>
      </c>
      <c r="F11" s="99"/>
      <c r="H11" s="99"/>
      <c r="J11" s="99"/>
    </row>
    <row r="12" spans="1:10" s="57" customFormat="1" ht="40.5" customHeight="1" x14ac:dyDescent="0.25">
      <c r="A12" s="301" t="s">
        <v>79</v>
      </c>
      <c r="B12" s="192">
        <v>13144336</v>
      </c>
      <c r="C12" s="193"/>
      <c r="D12" s="222"/>
      <c r="E12" s="310">
        <f t="shared" si="0"/>
        <v>13144336</v>
      </c>
      <c r="F12" s="99"/>
      <c r="H12" s="99"/>
      <c r="J12" s="99"/>
    </row>
    <row r="13" spans="1:10" s="57" customFormat="1" ht="51.75" customHeight="1" x14ac:dyDescent="0.25">
      <c r="A13" s="301" t="s">
        <v>307</v>
      </c>
      <c r="B13" s="192">
        <v>48595113</v>
      </c>
      <c r="C13" s="193"/>
      <c r="D13" s="222"/>
      <c r="E13" s="310">
        <f t="shared" si="0"/>
        <v>48595113</v>
      </c>
      <c r="F13" s="99"/>
      <c r="H13" s="99"/>
      <c r="J13" s="99"/>
    </row>
    <row r="14" spans="1:10" s="57" customFormat="1" ht="66" customHeight="1" x14ac:dyDescent="0.25">
      <c r="A14" s="301" t="s">
        <v>308</v>
      </c>
      <c r="B14" s="192">
        <v>58710</v>
      </c>
      <c r="C14" s="193"/>
      <c r="D14" s="222"/>
      <c r="E14" s="310">
        <f t="shared" si="0"/>
        <v>58710</v>
      </c>
      <c r="F14" s="99"/>
      <c r="H14" s="99"/>
      <c r="J14" s="99"/>
    </row>
    <row r="15" spans="1:10" s="160" customFormat="1" ht="66" customHeight="1" x14ac:dyDescent="0.25">
      <c r="A15" s="302" t="s">
        <v>185</v>
      </c>
      <c r="B15" s="303"/>
      <c r="C15" s="195"/>
      <c r="D15" s="223"/>
      <c r="E15" s="310">
        <f t="shared" si="0"/>
        <v>0</v>
      </c>
      <c r="F15" s="159"/>
      <c r="H15" s="159"/>
      <c r="J15" s="159"/>
    </row>
    <row r="16" spans="1:10" s="160" customFormat="1" ht="66" customHeight="1" x14ac:dyDescent="0.25">
      <c r="A16" s="302" t="s">
        <v>211</v>
      </c>
      <c r="B16" s="194"/>
      <c r="C16" s="195"/>
      <c r="D16" s="223"/>
      <c r="E16" s="310">
        <f t="shared" si="0"/>
        <v>0</v>
      </c>
      <c r="F16" s="159"/>
      <c r="H16" s="159"/>
      <c r="J16" s="159"/>
    </row>
    <row r="17" spans="1:13" s="160" customFormat="1" ht="58.5" customHeight="1" thickBot="1" x14ac:dyDescent="0.3">
      <c r="A17" s="407" t="s">
        <v>165</v>
      </c>
      <c r="B17" s="408">
        <v>529622081</v>
      </c>
      <c r="C17" s="207"/>
      <c r="D17" s="409"/>
      <c r="E17" s="404">
        <f t="shared" si="0"/>
        <v>529622081</v>
      </c>
      <c r="F17" s="159"/>
      <c r="H17" s="159"/>
      <c r="J17" s="159"/>
    </row>
    <row r="18" spans="1:13" s="162" customFormat="1" ht="41.25" customHeight="1" thickBot="1" x14ac:dyDescent="0.3">
      <c r="A18" s="187" t="s">
        <v>81</v>
      </c>
      <c r="B18" s="405">
        <f t="shared" ref="B18:D18" si="2">SUM(B19:B20)</f>
        <v>201533856</v>
      </c>
      <c r="C18" s="405">
        <f t="shared" si="2"/>
        <v>0</v>
      </c>
      <c r="D18" s="405">
        <f t="shared" si="2"/>
        <v>0</v>
      </c>
      <c r="E18" s="406">
        <f t="shared" si="0"/>
        <v>201533856</v>
      </c>
      <c r="F18" s="161"/>
      <c r="H18" s="161"/>
      <c r="J18" s="161"/>
    </row>
    <row r="19" spans="1:13" s="57" customFormat="1" ht="43.5" x14ac:dyDescent="0.25">
      <c r="A19" s="188" t="s">
        <v>136</v>
      </c>
      <c r="B19" s="190"/>
      <c r="C19" s="191"/>
      <c r="D19" s="191"/>
      <c r="E19" s="304">
        <f t="shared" si="0"/>
        <v>0</v>
      </c>
      <c r="F19" s="99"/>
      <c r="H19" s="99"/>
      <c r="J19" s="99"/>
    </row>
    <row r="20" spans="1:13" s="57" customFormat="1" ht="48.75" customHeight="1" thickBot="1" x14ac:dyDescent="0.3">
      <c r="A20" s="307" t="s">
        <v>82</v>
      </c>
      <c r="B20" s="197">
        <v>201533856</v>
      </c>
      <c r="C20" s="198"/>
      <c r="D20" s="198"/>
      <c r="E20" s="196">
        <f t="shared" si="0"/>
        <v>201533856</v>
      </c>
      <c r="F20" s="99"/>
      <c r="H20" s="99"/>
      <c r="J20" s="99"/>
    </row>
    <row r="21" spans="1:13" s="131" customFormat="1" ht="45" customHeight="1" thickBot="1" x14ac:dyDescent="0.3">
      <c r="A21" s="306" t="s">
        <v>70</v>
      </c>
      <c r="B21" s="412">
        <f t="shared" ref="B21:D21" si="3">B23+B24+B27+B22</f>
        <v>150629512</v>
      </c>
      <c r="C21" s="412">
        <f t="shared" si="3"/>
        <v>0</v>
      </c>
      <c r="D21" s="412">
        <f t="shared" si="3"/>
        <v>0</v>
      </c>
      <c r="E21" s="305">
        <f t="shared" si="0"/>
        <v>150629512</v>
      </c>
      <c r="F21" s="130"/>
      <c r="H21" s="130"/>
      <c r="J21" s="130"/>
    </row>
    <row r="22" spans="1:13" s="131" customFormat="1" ht="45" customHeight="1" x14ac:dyDescent="0.25">
      <c r="A22" s="327" t="s">
        <v>203</v>
      </c>
      <c r="B22" s="417"/>
      <c r="C22" s="417"/>
      <c r="D22" s="417"/>
      <c r="E22" s="309"/>
      <c r="F22" s="130"/>
      <c r="H22" s="130"/>
      <c r="J22" s="130"/>
    </row>
    <row r="23" spans="1:13" s="160" customFormat="1" ht="36" customHeight="1" x14ac:dyDescent="0.25">
      <c r="A23" s="328" t="s">
        <v>71</v>
      </c>
      <c r="B23" s="410">
        <v>17240000</v>
      </c>
      <c r="C23" s="411"/>
      <c r="D23" s="411"/>
      <c r="E23" s="401">
        <f t="shared" ref="E23:E34" si="4">D23+C23+B23</f>
        <v>17240000</v>
      </c>
      <c r="F23" s="159"/>
      <c r="H23" s="159"/>
      <c r="J23" s="159"/>
    </row>
    <row r="24" spans="1:13" s="160" customFormat="1" ht="46.5" customHeight="1" x14ac:dyDescent="0.25">
      <c r="A24" s="328" t="s">
        <v>72</v>
      </c>
      <c r="B24" s="199">
        <f>SUM(B25:B26)</f>
        <v>120433512</v>
      </c>
      <c r="C24" s="199">
        <f>SUM(C25:C26)</f>
        <v>0</v>
      </c>
      <c r="D24" s="199">
        <f>SUM(D25:D26)</f>
        <v>0</v>
      </c>
      <c r="E24" s="310">
        <f t="shared" si="4"/>
        <v>120433512</v>
      </c>
      <c r="F24" s="159"/>
      <c r="H24" s="159"/>
      <c r="J24" s="159"/>
    </row>
    <row r="25" spans="1:13" s="160" customFormat="1" ht="67.5" customHeight="1" x14ac:dyDescent="0.25">
      <c r="A25" s="329" t="s">
        <v>73</v>
      </c>
      <c r="B25" s="199">
        <v>120433512</v>
      </c>
      <c r="C25" s="308"/>
      <c r="D25" s="308"/>
      <c r="E25" s="310">
        <f t="shared" si="4"/>
        <v>120433512</v>
      </c>
      <c r="F25" s="159"/>
      <c r="H25" s="159"/>
      <c r="J25" s="159"/>
    </row>
    <row r="26" spans="1:13" s="57" customFormat="1" ht="24.75" customHeight="1" thickBot="1" x14ac:dyDescent="0.3">
      <c r="A26" s="329" t="s">
        <v>74</v>
      </c>
      <c r="B26" s="335"/>
      <c r="C26" s="205"/>
      <c r="D26" s="205"/>
      <c r="E26" s="404">
        <f t="shared" si="4"/>
        <v>0</v>
      </c>
      <c r="F26" s="99"/>
      <c r="H26" s="99"/>
      <c r="J26" s="99"/>
    </row>
    <row r="27" spans="1:13" s="160" customFormat="1" ht="44.25" thickBot="1" x14ac:dyDescent="0.3">
      <c r="A27" s="330" t="s">
        <v>223</v>
      </c>
      <c r="B27" s="413">
        <v>12956000</v>
      </c>
      <c r="C27" s="414"/>
      <c r="D27" s="415"/>
      <c r="E27" s="416">
        <f t="shared" si="4"/>
        <v>12956000</v>
      </c>
      <c r="F27" s="159"/>
      <c r="H27" s="159"/>
      <c r="J27" s="159"/>
    </row>
    <row r="28" spans="1:13" s="57" customFormat="1" ht="38.25" customHeight="1" thickBot="1" x14ac:dyDescent="0.3">
      <c r="A28" s="187" t="s">
        <v>75</v>
      </c>
      <c r="B28" s="189">
        <v>144618809</v>
      </c>
      <c r="C28" s="189">
        <v>408000</v>
      </c>
      <c r="D28" s="189">
        <v>1210237</v>
      </c>
      <c r="E28" s="305">
        <f t="shared" si="4"/>
        <v>146237046</v>
      </c>
      <c r="F28" s="99"/>
      <c r="H28" s="99"/>
      <c r="J28" s="99"/>
    </row>
    <row r="29" spans="1:13" ht="32.25" customHeight="1" thickBot="1" x14ac:dyDescent="0.3">
      <c r="A29" s="187" t="s">
        <v>76</v>
      </c>
      <c r="B29" s="189">
        <v>46659567</v>
      </c>
      <c r="C29" s="311"/>
      <c r="D29" s="311"/>
      <c r="E29" s="305">
        <f t="shared" si="4"/>
        <v>46659567</v>
      </c>
    </row>
    <row r="30" spans="1:13" ht="32.25" customHeight="1" thickBot="1" x14ac:dyDescent="0.3">
      <c r="A30" s="187" t="s">
        <v>92</v>
      </c>
      <c r="B30" s="189">
        <v>23955816</v>
      </c>
      <c r="C30" s="311"/>
      <c r="D30" s="312"/>
      <c r="E30" s="305">
        <f t="shared" si="4"/>
        <v>23955816</v>
      </c>
    </row>
    <row r="31" spans="1:13" s="57" customFormat="1" ht="48.75" customHeight="1" thickBot="1" x14ac:dyDescent="0.3">
      <c r="A31" s="187" t="s">
        <v>83</v>
      </c>
      <c r="B31" s="189"/>
      <c r="C31" s="189">
        <f>SUM(C32:C33)</f>
        <v>0</v>
      </c>
      <c r="D31" s="189">
        <f>SUM(D32:D33)</f>
        <v>150000</v>
      </c>
      <c r="E31" s="305">
        <f t="shared" si="4"/>
        <v>150000</v>
      </c>
      <c r="F31" s="99"/>
      <c r="H31" s="99"/>
      <c r="J31" s="99"/>
    </row>
    <row r="32" spans="1:13" s="57" customFormat="1" ht="63.75" customHeight="1" x14ac:dyDescent="0.25">
      <c r="A32" s="396" t="s">
        <v>189</v>
      </c>
      <c r="B32" s="397"/>
      <c r="C32" s="398"/>
      <c r="D32" s="399"/>
      <c r="E32" s="309">
        <f t="shared" si="4"/>
        <v>0</v>
      </c>
      <c r="F32" s="99"/>
      <c r="H32" s="459"/>
      <c r="J32" s="99"/>
      <c r="M32" s="300"/>
    </row>
    <row r="33" spans="1:10" s="57" customFormat="1" ht="48.75" customHeight="1" x14ac:dyDescent="0.25">
      <c r="A33" s="400" t="s">
        <v>190</v>
      </c>
      <c r="B33" s="192"/>
      <c r="C33" s="193"/>
      <c r="D33" s="221">
        <v>150000</v>
      </c>
      <c r="E33" s="401">
        <f t="shared" si="4"/>
        <v>150000</v>
      </c>
      <c r="F33" s="99"/>
      <c r="H33" s="99"/>
      <c r="J33" s="99"/>
    </row>
    <row r="34" spans="1:10" s="66" customFormat="1" ht="40.5" customHeight="1" thickBot="1" x14ac:dyDescent="0.3">
      <c r="A34" s="201" t="s">
        <v>93</v>
      </c>
      <c r="B34" s="402">
        <f>B7+B18+B21+B31+B30+B28+B29</f>
        <v>1479999832</v>
      </c>
      <c r="C34" s="402">
        <f t="shared" ref="C34:D34" si="5">C7+C18+C21+C31+C30+C28+C29</f>
        <v>408000</v>
      </c>
      <c r="D34" s="403">
        <f t="shared" si="5"/>
        <v>1360237</v>
      </c>
      <c r="E34" s="404">
        <f t="shared" si="4"/>
        <v>1481768069</v>
      </c>
      <c r="F34" s="346"/>
      <c r="H34" s="348"/>
      <c r="J34" s="348"/>
    </row>
    <row r="35" spans="1:10" s="66" customFormat="1" ht="21.75" customHeight="1" thickBot="1" x14ac:dyDescent="0.3">
      <c r="A35" s="654" t="s">
        <v>91</v>
      </c>
      <c r="B35" s="655"/>
      <c r="C35" s="655"/>
      <c r="D35" s="655"/>
      <c r="E35" s="656"/>
      <c r="F35" s="346"/>
      <c r="H35" s="348"/>
      <c r="J35" s="348"/>
    </row>
    <row r="36" spans="1:10" ht="46.5" customHeight="1" thickBot="1" x14ac:dyDescent="0.3">
      <c r="A36" s="202" t="s">
        <v>90</v>
      </c>
      <c r="B36" s="336">
        <f>B37</f>
        <v>187628949</v>
      </c>
      <c r="C36" s="200">
        <f>C37+C45</f>
        <v>232077882</v>
      </c>
      <c r="D36" s="200">
        <f>D37+D45</f>
        <v>20909342</v>
      </c>
      <c r="E36" s="104">
        <f>E37</f>
        <v>440616173</v>
      </c>
    </row>
    <row r="37" spans="1:10" s="75" customFormat="1" ht="33" customHeight="1" thickBot="1" x14ac:dyDescent="0.25">
      <c r="A37" s="322" t="s">
        <v>84</v>
      </c>
      <c r="B37" s="315">
        <f>B38+B41+B46+B45+B44</f>
        <v>187628949</v>
      </c>
      <c r="C37" s="203">
        <f>C38+C41+C46+C44</f>
        <v>232077882</v>
      </c>
      <c r="D37" s="316">
        <f>D38+D41+D46+D44</f>
        <v>20909342</v>
      </c>
      <c r="E37" s="313">
        <f t="shared" ref="E37:E46" si="6">C37+B37+D37</f>
        <v>440616173</v>
      </c>
      <c r="F37" s="163"/>
      <c r="H37" s="163"/>
      <c r="J37" s="163"/>
    </row>
    <row r="38" spans="1:10" ht="33" customHeight="1" thickBot="1" x14ac:dyDescent="0.25">
      <c r="A38" s="208" t="s">
        <v>85</v>
      </c>
      <c r="B38" s="321">
        <f t="shared" ref="B38:D38" si="7">SUM(B39:B40)</f>
        <v>0</v>
      </c>
      <c r="C38" s="204">
        <f t="shared" si="7"/>
        <v>0</v>
      </c>
      <c r="D38" s="317">
        <f t="shared" si="7"/>
        <v>0</v>
      </c>
      <c r="E38" s="391">
        <f t="shared" si="6"/>
        <v>0</v>
      </c>
      <c r="F38" s="331"/>
    </row>
    <row r="39" spans="1:10" ht="33" customHeight="1" thickBot="1" x14ac:dyDescent="0.25">
      <c r="A39" s="323" t="s">
        <v>166</v>
      </c>
      <c r="B39" s="204"/>
      <c r="C39" s="204"/>
      <c r="D39" s="318"/>
      <c r="E39" s="391">
        <f t="shared" si="6"/>
        <v>0</v>
      </c>
    </row>
    <row r="40" spans="1:10" ht="33" customHeight="1" thickBot="1" x14ac:dyDescent="0.25">
      <c r="A40" s="314" t="s">
        <v>226</v>
      </c>
      <c r="B40" s="204"/>
      <c r="C40" s="204"/>
      <c r="D40" s="318"/>
      <c r="E40" s="158">
        <f t="shared" si="6"/>
        <v>0</v>
      </c>
    </row>
    <row r="41" spans="1:10" s="75" customFormat="1" ht="33" customHeight="1" thickBot="1" x14ac:dyDescent="0.25">
      <c r="A41" s="395" t="s">
        <v>86</v>
      </c>
      <c r="B41" s="308">
        <f>SUM(B42:B43)</f>
        <v>174596133</v>
      </c>
      <c r="C41" s="308">
        <f>SUM(C42:C43)</f>
        <v>256000</v>
      </c>
      <c r="D41" s="394">
        <f>SUM(D42:D43)+D45</f>
        <v>194142</v>
      </c>
      <c r="E41" s="158">
        <f t="shared" si="6"/>
        <v>175046275</v>
      </c>
      <c r="F41" s="163"/>
      <c r="H41" s="163"/>
      <c r="J41" s="163"/>
    </row>
    <row r="42" spans="1:10" s="164" customFormat="1" ht="33" customHeight="1" thickBot="1" x14ac:dyDescent="0.25">
      <c r="A42" s="314" t="s">
        <v>88</v>
      </c>
      <c r="B42" s="421">
        <v>51891113</v>
      </c>
      <c r="C42" s="206">
        <v>256000</v>
      </c>
      <c r="D42" s="319">
        <v>194142</v>
      </c>
      <c r="E42" s="158">
        <f t="shared" si="6"/>
        <v>52341255</v>
      </c>
      <c r="F42" s="499"/>
      <c r="H42" s="458"/>
      <c r="J42" s="458"/>
    </row>
    <row r="43" spans="1:10" ht="36.75" customHeight="1" thickBot="1" x14ac:dyDescent="0.3">
      <c r="A43" s="314" t="s">
        <v>87</v>
      </c>
      <c r="B43" s="335">
        <v>122705020</v>
      </c>
      <c r="C43" s="205">
        <v>0</v>
      </c>
      <c r="D43" s="320"/>
      <c r="E43" s="104">
        <f t="shared" si="6"/>
        <v>122705020</v>
      </c>
      <c r="F43" s="331"/>
    </row>
    <row r="44" spans="1:10" s="75" customFormat="1" ht="36.75" customHeight="1" thickBot="1" x14ac:dyDescent="0.3">
      <c r="A44" s="395" t="s">
        <v>167</v>
      </c>
      <c r="B44" s="245"/>
      <c r="C44" s="245"/>
      <c r="D44" s="244"/>
      <c r="E44" s="104">
        <f t="shared" si="6"/>
        <v>0</v>
      </c>
      <c r="F44" s="163"/>
      <c r="H44" s="163"/>
      <c r="J44" s="163"/>
    </row>
    <row r="45" spans="1:10" s="75" customFormat="1" ht="36.75" customHeight="1" thickBot="1" x14ac:dyDescent="0.3">
      <c r="A45" s="395" t="s">
        <v>184</v>
      </c>
      <c r="B45" s="245">
        <v>13032816</v>
      </c>
      <c r="C45" s="245"/>
      <c r="D45" s="244"/>
      <c r="E45" s="104">
        <f t="shared" si="6"/>
        <v>13032816</v>
      </c>
      <c r="F45" s="163"/>
      <c r="H45" s="163"/>
      <c r="J45" s="163"/>
    </row>
    <row r="46" spans="1:10" ht="33" customHeight="1" thickBot="1" x14ac:dyDescent="0.3">
      <c r="A46" s="208" t="s">
        <v>89</v>
      </c>
      <c r="B46" s="209"/>
      <c r="C46" s="209">
        <v>231821882</v>
      </c>
      <c r="D46" s="210">
        <v>20715200</v>
      </c>
      <c r="E46" s="104">
        <f t="shared" si="6"/>
        <v>252537082</v>
      </c>
    </row>
    <row r="48" spans="1:10" x14ac:dyDescent="0.2">
      <c r="E48" s="107"/>
    </row>
    <row r="49" spans="2:3" x14ac:dyDescent="0.2">
      <c r="B49" s="105"/>
    </row>
    <row r="50" spans="2:3" x14ac:dyDescent="0.2">
      <c r="C50" s="105"/>
    </row>
  </sheetData>
  <mergeCells count="7">
    <mergeCell ref="E5:E6"/>
    <mergeCell ref="A35:E35"/>
    <mergeCell ref="A1:E1"/>
    <mergeCell ref="A5:A6"/>
    <mergeCell ref="B5:B6"/>
    <mergeCell ref="C5:C6"/>
    <mergeCell ref="D5:D6"/>
  </mergeCells>
  <pageMargins left="0.98425196850393704" right="0.19685039370078741" top="0.47244094488188981" bottom="0.39370078740157483" header="0.51181102362204722" footer="0.51181102362204722"/>
  <pageSetup paperSize="9" scale="43" orientation="portrait" r:id="rId1"/>
  <headerFooter alignWithMargins="0">
    <oddHeader>&amp;R1.sz. melléklet
..../2025.(VIII.28.)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view="pageLayout" zoomScaleNormal="100" workbookViewId="0">
      <selection activeCell="D21" sqref="D21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6.85546875" customWidth="1"/>
  </cols>
  <sheetData>
    <row r="2" spans="1:15" ht="48.6" customHeight="1" x14ac:dyDescent="0.25">
      <c r="A2" s="700" t="s">
        <v>336</v>
      </c>
      <c r="B2" s="700"/>
      <c r="C2" s="700"/>
      <c r="D2" s="700"/>
      <c r="E2" s="700"/>
      <c r="F2" s="153"/>
      <c r="G2" s="153"/>
      <c r="H2" s="19"/>
      <c r="I2" s="19"/>
      <c r="J2" s="19"/>
      <c r="K2" s="19"/>
      <c r="L2" s="19"/>
      <c r="M2" s="19"/>
      <c r="N2" s="19"/>
      <c r="O2" s="19"/>
    </row>
    <row r="3" spans="1:15" ht="15.75" x14ac:dyDescent="0.25">
      <c r="A3" s="153"/>
      <c r="B3" s="153"/>
      <c r="C3" s="153"/>
      <c r="D3" s="153"/>
      <c r="E3" s="153"/>
      <c r="F3" s="153"/>
      <c r="G3" s="153"/>
      <c r="H3" s="19"/>
      <c r="I3" s="19"/>
      <c r="J3" s="19"/>
      <c r="K3" s="19"/>
      <c r="L3" s="19"/>
      <c r="M3" s="19"/>
      <c r="N3" s="19"/>
      <c r="O3" s="19"/>
    </row>
    <row r="4" spans="1:15" ht="15.75" x14ac:dyDescent="0.25">
      <c r="A4" s="495"/>
      <c r="B4" s="495"/>
      <c r="C4" s="495"/>
      <c r="D4" s="495"/>
      <c r="E4" s="495"/>
      <c r="F4" s="495"/>
      <c r="G4" s="495"/>
      <c r="H4" s="19"/>
      <c r="I4" s="19"/>
      <c r="J4" s="19"/>
      <c r="K4" s="19"/>
      <c r="L4" s="19"/>
      <c r="M4" s="19"/>
      <c r="N4" s="19"/>
      <c r="O4" s="19"/>
    </row>
    <row r="5" spans="1:15" ht="16.5" thickBot="1" x14ac:dyDescent="0.3">
      <c r="A5" s="19"/>
      <c r="B5" s="19"/>
      <c r="C5" s="19"/>
      <c r="D5" s="19"/>
      <c r="E5" s="332" t="s">
        <v>204</v>
      </c>
      <c r="F5" s="23"/>
      <c r="G5" s="23"/>
      <c r="H5" s="19"/>
      <c r="I5" s="19"/>
      <c r="J5" s="19"/>
      <c r="K5" s="19"/>
      <c r="L5" s="19"/>
      <c r="M5" s="19"/>
      <c r="N5" s="19"/>
      <c r="O5" s="19"/>
    </row>
    <row r="6" spans="1:15" ht="16.5" thickBot="1" x14ac:dyDescent="0.3">
      <c r="A6" s="22"/>
      <c r="B6" s="97"/>
      <c r="C6" s="701"/>
      <c r="D6" s="701"/>
      <c r="E6" s="702"/>
      <c r="F6" s="60"/>
      <c r="G6" s="60"/>
      <c r="H6" s="19"/>
      <c r="I6" s="19"/>
      <c r="J6" s="19"/>
      <c r="K6" s="19"/>
      <c r="L6" s="19"/>
      <c r="M6" s="19"/>
      <c r="N6" s="19"/>
      <c r="O6" s="19"/>
    </row>
    <row r="7" spans="1:15" ht="12.75" customHeight="1" x14ac:dyDescent="0.2">
      <c r="A7" s="703" t="s">
        <v>110</v>
      </c>
      <c r="B7" s="698" t="s">
        <v>261</v>
      </c>
      <c r="C7" s="698" t="s">
        <v>262</v>
      </c>
      <c r="D7" s="705" t="s">
        <v>263</v>
      </c>
      <c r="E7" s="698" t="s">
        <v>254</v>
      </c>
      <c r="F7" s="18"/>
    </row>
    <row r="8" spans="1:15" ht="43.5" customHeight="1" thickBot="1" x14ac:dyDescent="0.25">
      <c r="A8" s="704"/>
      <c r="B8" s="699"/>
      <c r="C8" s="699"/>
      <c r="D8" s="706"/>
      <c r="E8" s="699"/>
      <c r="F8" s="90"/>
    </row>
    <row r="9" spans="1:15" ht="21" customHeight="1" thickBot="1" x14ac:dyDescent="0.25">
      <c r="A9" s="58" t="s">
        <v>111</v>
      </c>
      <c r="B9" s="118">
        <f>'önkormányzat kiadásai 11. '!B35</f>
        <v>547152652</v>
      </c>
      <c r="C9" s="118">
        <f>'Polg.Hivatal kiadásai 14.'!B12</f>
        <v>183006773</v>
      </c>
      <c r="D9" s="267">
        <f>'Könyvtár és Műv.H. kiadásai 16.'!B10</f>
        <v>11672200</v>
      </c>
      <c r="E9" s="113">
        <f t="shared" ref="E9:E17" si="0">D9+C9+B9</f>
        <v>741831625</v>
      </c>
      <c r="F9" s="90"/>
      <c r="G9" s="454"/>
    </row>
    <row r="10" spans="1:15" ht="33" customHeight="1" thickBot="1" x14ac:dyDescent="0.25">
      <c r="A10" s="111" t="s">
        <v>112</v>
      </c>
      <c r="B10" s="118">
        <f>'önkormányzat kiadásai 11. '!C35</f>
        <v>45310189</v>
      </c>
      <c r="C10" s="118">
        <f>'Polg.Hivatal kiadásai 14.'!C12</f>
        <v>23908109</v>
      </c>
      <c r="D10" s="267">
        <f>'Könyvtár és Műv.H. kiadásai 16.'!C10</f>
        <v>1536000</v>
      </c>
      <c r="E10" s="113">
        <f t="shared" si="0"/>
        <v>70754298</v>
      </c>
      <c r="F10" s="90"/>
      <c r="G10" s="454"/>
    </row>
    <row r="11" spans="1:15" ht="21" customHeight="1" thickBot="1" x14ac:dyDescent="0.25">
      <c r="A11" s="58" t="s">
        <v>113</v>
      </c>
      <c r="B11" s="118">
        <f>'önkormányzat kiadásai 11. '!D35</f>
        <v>278147717</v>
      </c>
      <c r="C11" s="118">
        <f>'Polg.Hivatal kiadásai 14.'!D12</f>
        <v>21552400</v>
      </c>
      <c r="D11" s="267">
        <f>'Könyvtár és Műv.H. kiadásai 16.'!D10</f>
        <v>8911379</v>
      </c>
      <c r="E11" s="113">
        <f t="shared" si="0"/>
        <v>308611496</v>
      </c>
      <c r="F11" s="90"/>
      <c r="G11" s="454"/>
    </row>
    <row r="12" spans="1:15" ht="21" customHeight="1" thickBot="1" x14ac:dyDescent="0.25">
      <c r="A12" s="59" t="s">
        <v>114</v>
      </c>
      <c r="B12" s="119">
        <f>'önkormányzat kiadásai 11. '!E35</f>
        <v>19763000</v>
      </c>
      <c r="C12" s="119"/>
      <c r="D12" s="267"/>
      <c r="E12" s="113">
        <f t="shared" si="0"/>
        <v>19763000</v>
      </c>
      <c r="F12" s="90"/>
      <c r="G12" s="454"/>
    </row>
    <row r="13" spans="1:15" ht="35.25" customHeight="1" thickBot="1" x14ac:dyDescent="0.25">
      <c r="A13" s="138" t="s">
        <v>255</v>
      </c>
      <c r="B13" s="156">
        <f>'önkormányzat kiadásai 11. '!F35+'önkormányzat kiadásai 11. '!G35</f>
        <v>100343807</v>
      </c>
      <c r="C13" s="119"/>
      <c r="D13" s="267"/>
      <c r="E13" s="113">
        <f t="shared" si="0"/>
        <v>100343807</v>
      </c>
      <c r="F13" s="90"/>
      <c r="G13" s="454"/>
    </row>
    <row r="14" spans="1:15" ht="35.25" customHeight="1" thickBot="1" x14ac:dyDescent="0.25">
      <c r="A14" s="138" t="s">
        <v>305</v>
      </c>
      <c r="B14" s="266">
        <f>'önkormányzat kiadásai 11. '!G6</f>
        <v>26655754</v>
      </c>
      <c r="C14" s="266"/>
      <c r="D14" s="266"/>
      <c r="E14" s="113">
        <f t="shared" si="0"/>
        <v>26655754</v>
      </c>
      <c r="F14" s="90"/>
      <c r="G14" s="454"/>
    </row>
    <row r="15" spans="1:15" ht="35.25" customHeight="1" thickBot="1" x14ac:dyDescent="0.25">
      <c r="A15" s="111" t="s">
        <v>120</v>
      </c>
      <c r="B15" s="157">
        <f>SUM(B16:B17)</f>
        <v>265569898</v>
      </c>
      <c r="C15" s="157"/>
      <c r="D15" s="157"/>
      <c r="E15" s="113">
        <f t="shared" si="0"/>
        <v>265569898</v>
      </c>
      <c r="F15" s="90"/>
      <c r="G15" s="454"/>
    </row>
    <row r="16" spans="1:15" ht="35.25" customHeight="1" thickBot="1" x14ac:dyDescent="0.25">
      <c r="A16" s="138" t="s">
        <v>198</v>
      </c>
      <c r="B16" s="156">
        <f>'önkormányzat kiadásai 11. '!K9</f>
        <v>13032816</v>
      </c>
      <c r="C16" s="119"/>
      <c r="D16" s="268"/>
      <c r="E16" s="113">
        <f t="shared" si="0"/>
        <v>13032816</v>
      </c>
      <c r="F16" s="90"/>
      <c r="G16" s="89"/>
    </row>
    <row r="17" spans="1:8" ht="31.5" customHeight="1" thickBot="1" x14ac:dyDescent="0.25">
      <c r="A17" s="138" t="s">
        <v>224</v>
      </c>
      <c r="B17" s="119">
        <f>'önkormányzat kiadásai 11. '!K10</f>
        <v>252537082</v>
      </c>
      <c r="C17" s="119"/>
      <c r="D17" s="268"/>
      <c r="E17" s="113">
        <f t="shared" si="0"/>
        <v>252537082</v>
      </c>
      <c r="F17" s="90"/>
      <c r="G17" s="89"/>
    </row>
    <row r="18" spans="1:8" ht="21" customHeight="1" thickBot="1" x14ac:dyDescent="0.25">
      <c r="A18" s="17" t="s">
        <v>32</v>
      </c>
      <c r="B18" s="113">
        <f>B9+B10+B11+B12+B13+B15</f>
        <v>1256287263</v>
      </c>
      <c r="C18" s="113">
        <f t="shared" ref="C18:E18" si="1">C9+C10+C11+C12+C13+C15</f>
        <v>228467282</v>
      </c>
      <c r="D18" s="113">
        <f t="shared" si="1"/>
        <v>22119579</v>
      </c>
      <c r="E18" s="113">
        <f t="shared" si="1"/>
        <v>1506874124</v>
      </c>
      <c r="F18" s="90"/>
      <c r="G18" s="89"/>
    </row>
    <row r="19" spans="1:8" ht="21" customHeight="1" thickBot="1" x14ac:dyDescent="0.25">
      <c r="A19" s="20"/>
      <c r="B19" s="121"/>
      <c r="C19" s="121"/>
      <c r="D19" s="120"/>
      <c r="E19" s="122"/>
      <c r="F19" s="18"/>
      <c r="G19" s="89"/>
    </row>
    <row r="20" spans="1:8" s="128" customFormat="1" ht="21" customHeight="1" thickBot="1" x14ac:dyDescent="0.25">
      <c r="A20" s="174" t="s">
        <v>115</v>
      </c>
      <c r="B20" s="168">
        <f>'önkormányzat kiadásai 11. '!H35</f>
        <v>356059263</v>
      </c>
      <c r="C20" s="168">
        <f>'Polg.Hivatal kiadásai 14.'!H12</f>
        <v>4018600</v>
      </c>
      <c r="D20" s="168">
        <f>'Könyvtár és Műv.H. kiadásai 16.'!H10</f>
        <v>150000</v>
      </c>
      <c r="E20" s="176">
        <f>D20+C20+B20</f>
        <v>360227863</v>
      </c>
      <c r="F20" s="90"/>
      <c r="G20" s="500"/>
    </row>
    <row r="21" spans="1:8" s="128" customFormat="1" ht="21" customHeight="1" thickBot="1" x14ac:dyDescent="0.25">
      <c r="A21" s="174" t="s">
        <v>116</v>
      </c>
      <c r="B21" s="168">
        <f>'önkormányzat kiadásai 11. '!I35</f>
        <v>3178892</v>
      </c>
      <c r="C21" s="168"/>
      <c r="D21" s="168"/>
      <c r="E21" s="176">
        <f>D21+C21+B21</f>
        <v>3178892</v>
      </c>
      <c r="F21" s="90"/>
      <c r="G21" s="500"/>
    </row>
    <row r="22" spans="1:8" s="128" customFormat="1" ht="21" customHeight="1" thickBot="1" x14ac:dyDescent="0.25">
      <c r="A22" s="174" t="s">
        <v>117</v>
      </c>
      <c r="B22" s="168"/>
      <c r="C22" s="168"/>
      <c r="D22" s="168"/>
      <c r="E22" s="176">
        <f>D22+C22+B22</f>
        <v>0</v>
      </c>
      <c r="F22" s="90"/>
      <c r="G22" s="500"/>
    </row>
    <row r="23" spans="1:8" s="128" customFormat="1" ht="42" customHeight="1" thickBot="1" x14ac:dyDescent="0.25">
      <c r="A23" s="175" t="s">
        <v>121</v>
      </c>
      <c r="B23" s="168">
        <f>'önkormányzat kiadásai 11. '!K34</f>
        <v>52103363</v>
      </c>
      <c r="C23" s="168"/>
      <c r="D23" s="168"/>
      <c r="E23" s="176">
        <f>D23+C23+B23</f>
        <v>52103363</v>
      </c>
      <c r="F23" s="90"/>
      <c r="G23" s="500"/>
    </row>
    <row r="24" spans="1:8" ht="21" customHeight="1" thickBot="1" x14ac:dyDescent="0.25">
      <c r="A24" s="17" t="s">
        <v>118</v>
      </c>
      <c r="B24" s="113">
        <f t="shared" ref="B24:D24" si="2">SUM(B20:B23)</f>
        <v>411341518</v>
      </c>
      <c r="C24" s="113">
        <f t="shared" si="2"/>
        <v>4018600</v>
      </c>
      <c r="D24" s="113">
        <f t="shared" si="2"/>
        <v>150000</v>
      </c>
      <c r="E24" s="176">
        <f>D24+C24+B24</f>
        <v>415510118</v>
      </c>
      <c r="F24" s="90"/>
      <c r="G24" s="454"/>
    </row>
    <row r="25" spans="1:8" s="1" customFormat="1" ht="21" customHeight="1" x14ac:dyDescent="0.2">
      <c r="A25" s="20"/>
      <c r="B25" s="121"/>
      <c r="C25" s="121"/>
      <c r="D25" s="120"/>
      <c r="E25" s="250"/>
      <c r="F25" s="456"/>
      <c r="G25" s="457"/>
    </row>
    <row r="26" spans="1:8" ht="21" customHeight="1" thickBot="1" x14ac:dyDescent="0.25">
      <c r="A26" s="20"/>
      <c r="B26" s="123"/>
      <c r="C26" s="121"/>
      <c r="D26" s="120"/>
      <c r="E26" s="250"/>
      <c r="F26" s="18"/>
      <c r="G26" s="454"/>
    </row>
    <row r="27" spans="1:8" ht="21" customHeight="1" thickBot="1" x14ac:dyDescent="0.25">
      <c r="A27" s="17" t="s">
        <v>33</v>
      </c>
      <c r="B27" s="113">
        <f>B18+B24</f>
        <v>1667628781</v>
      </c>
      <c r="C27" s="113">
        <f t="shared" ref="C27:E27" si="3">C18+C24</f>
        <v>232485882</v>
      </c>
      <c r="D27" s="113">
        <f t="shared" si="3"/>
        <v>22269579</v>
      </c>
      <c r="E27" s="113">
        <f t="shared" si="3"/>
        <v>1922384242</v>
      </c>
      <c r="F27" s="18"/>
      <c r="G27" s="89"/>
    </row>
    <row r="28" spans="1:8" ht="21" customHeight="1" x14ac:dyDescent="0.2">
      <c r="A28" s="21"/>
      <c r="B28" s="124"/>
      <c r="C28" s="125"/>
      <c r="D28" s="124"/>
      <c r="E28" s="250"/>
      <c r="F28" s="18"/>
      <c r="G28" s="89"/>
    </row>
    <row r="29" spans="1:8" x14ac:dyDescent="0.2">
      <c r="A29" s="18"/>
      <c r="B29" s="505"/>
      <c r="C29" s="18"/>
      <c r="D29" s="18"/>
      <c r="E29" s="18"/>
      <c r="F29" s="18"/>
    </row>
    <row r="30" spans="1:8" ht="16.5" customHeight="1" x14ac:dyDescent="0.2">
      <c r="A30" s="61"/>
      <c r="B30" s="378"/>
      <c r="C30" s="61"/>
      <c r="D30" s="61"/>
      <c r="E30" s="62"/>
      <c r="F30" s="18"/>
    </row>
    <row r="31" spans="1:8" x14ac:dyDescent="0.2">
      <c r="A31" s="18"/>
      <c r="B31" s="506"/>
      <c r="C31" s="18"/>
      <c r="D31" s="18"/>
      <c r="E31" s="18"/>
      <c r="F31" s="18"/>
      <c r="G31" s="18"/>
      <c r="H31" s="18"/>
    </row>
    <row r="32" spans="1:8" x14ac:dyDescent="0.2">
      <c r="A32" s="18"/>
      <c r="B32" s="420"/>
      <c r="C32" s="18"/>
      <c r="D32" s="18"/>
      <c r="E32" s="18"/>
      <c r="F32" s="18"/>
      <c r="G32" s="18"/>
      <c r="H32" s="18"/>
    </row>
    <row r="33" spans="1:8" x14ac:dyDescent="0.2">
      <c r="A33" s="18"/>
      <c r="B33" s="420"/>
      <c r="C33" s="18"/>
      <c r="D33" s="18"/>
      <c r="E33" s="18"/>
      <c r="F33" s="18"/>
      <c r="G33" s="18"/>
      <c r="H33" s="18"/>
    </row>
    <row r="34" spans="1:8" x14ac:dyDescent="0.2">
      <c r="A34" s="18"/>
      <c r="B34" s="420"/>
      <c r="C34" s="18"/>
      <c r="D34" s="18"/>
      <c r="E34" s="18"/>
      <c r="F34" s="18"/>
      <c r="G34" s="18"/>
      <c r="H34" s="18"/>
    </row>
    <row r="35" spans="1:8" x14ac:dyDescent="0.2">
      <c r="A35" s="18"/>
      <c r="B35" s="420"/>
      <c r="C35" s="18"/>
      <c r="D35" s="18"/>
      <c r="E35" s="18"/>
      <c r="F35" s="18"/>
      <c r="G35" s="18"/>
      <c r="H35" s="18"/>
    </row>
    <row r="36" spans="1:8" x14ac:dyDescent="0.2">
      <c r="A36" s="18"/>
      <c r="B36" s="420"/>
      <c r="C36" s="18"/>
      <c r="D36" s="18"/>
      <c r="E36" s="18"/>
      <c r="F36" s="18"/>
      <c r="G36" s="18"/>
      <c r="H36" s="18"/>
    </row>
    <row r="37" spans="1:8" x14ac:dyDescent="0.2">
      <c r="A37" s="18"/>
      <c r="B37" s="420"/>
      <c r="C37" s="18"/>
      <c r="D37" s="18"/>
      <c r="E37" s="18"/>
      <c r="F37" s="18"/>
      <c r="G37" s="18"/>
      <c r="H37" s="18"/>
    </row>
    <row r="38" spans="1:8" x14ac:dyDescent="0.2">
      <c r="A38" s="18"/>
      <c r="B38" s="420"/>
      <c r="C38" s="18"/>
      <c r="D38" s="18"/>
      <c r="E38" s="18"/>
      <c r="F38" s="18"/>
      <c r="G38" s="18"/>
      <c r="H38" s="18"/>
    </row>
  </sheetData>
  <mergeCells count="7">
    <mergeCell ref="E7:E8"/>
    <mergeCell ref="A2:E2"/>
    <mergeCell ref="C6:E6"/>
    <mergeCell ref="A7:A8"/>
    <mergeCell ref="B7:B8"/>
    <mergeCell ref="C7:C8"/>
    <mergeCell ref="D7:D8"/>
  </mergeCells>
  <pageMargins left="0.19685039370078741" right="0.19685039370078741" top="0.35433070866141736" bottom="0.39370078740157483" header="0.51181102362204722" footer="0.51181102362204722"/>
  <pageSetup paperSize="9" scale="79" orientation="landscape" r:id="rId1"/>
  <headerFooter alignWithMargins="0">
    <oddHeader>&amp;R10.sz. melléklet
......../2025.(VIII.28.) Egyek Önk.</oddHeader>
  </headerFooter>
  <colBreaks count="1" manualBreakCount="1">
    <brk id="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7"/>
  <sheetViews>
    <sheetView view="pageLayout" topLeftCell="B1" zoomScaleNormal="110" zoomScaleSheetLayoutView="90" workbookViewId="0">
      <selection activeCell="L5" sqref="L5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707" t="s">
        <v>390</v>
      </c>
      <c r="B2" s="708"/>
      <c r="C2" s="708"/>
      <c r="D2" s="708"/>
      <c r="E2" s="708"/>
      <c r="F2" s="708"/>
      <c r="G2" s="708"/>
      <c r="H2" s="708"/>
      <c r="I2" s="709"/>
      <c r="J2" s="709"/>
      <c r="K2" s="709"/>
      <c r="L2" s="709"/>
    </row>
    <row r="3" spans="1:12" ht="13.5" thickBot="1" x14ac:dyDescent="0.25">
      <c r="L3" s="489"/>
    </row>
    <row r="4" spans="1:12" ht="102" customHeight="1" thickBot="1" x14ac:dyDescent="0.25">
      <c r="A4" s="663" t="s">
        <v>96</v>
      </c>
      <c r="B4" s="108" t="s">
        <v>111</v>
      </c>
      <c r="C4" s="108" t="s">
        <v>122</v>
      </c>
      <c r="D4" s="108" t="s">
        <v>113</v>
      </c>
      <c r="E4" s="108" t="s">
        <v>123</v>
      </c>
      <c r="F4" s="108" t="s">
        <v>119</v>
      </c>
      <c r="G4" s="108" t="s">
        <v>206</v>
      </c>
      <c r="H4" s="108" t="s">
        <v>115</v>
      </c>
      <c r="I4" s="108" t="s">
        <v>116</v>
      </c>
      <c r="J4" s="108" t="s">
        <v>117</v>
      </c>
      <c r="K4" s="108" t="s">
        <v>125</v>
      </c>
      <c r="L4" s="109" t="s">
        <v>24</v>
      </c>
    </row>
    <row r="5" spans="1:12" ht="21" customHeight="1" thickBot="1" x14ac:dyDescent="0.25">
      <c r="A5" s="665"/>
      <c r="B5" s="524" t="s">
        <v>316</v>
      </c>
      <c r="C5" s="524" t="s">
        <v>316</v>
      </c>
      <c r="D5" s="524" t="s">
        <v>316</v>
      </c>
      <c r="E5" s="524" t="s">
        <v>316</v>
      </c>
      <c r="F5" s="524" t="s">
        <v>316</v>
      </c>
      <c r="G5" s="524" t="s">
        <v>316</v>
      </c>
      <c r="H5" s="524" t="s">
        <v>316</v>
      </c>
      <c r="I5" s="524" t="s">
        <v>391</v>
      </c>
      <c r="J5" s="524" t="s">
        <v>316</v>
      </c>
      <c r="K5" s="524" t="s">
        <v>316</v>
      </c>
      <c r="L5" s="132" t="s">
        <v>316</v>
      </c>
    </row>
    <row r="6" spans="1:12" ht="21" customHeight="1" thickBot="1" x14ac:dyDescent="0.25">
      <c r="A6" s="547" t="s">
        <v>291</v>
      </c>
      <c r="B6" s="546">
        <v>43186657</v>
      </c>
      <c r="C6" s="519">
        <v>5946928</v>
      </c>
      <c r="D6" s="543">
        <v>22141000</v>
      </c>
      <c r="E6" s="543"/>
      <c r="F6" s="519">
        <f>28855754-G6</f>
        <v>2200000</v>
      </c>
      <c r="G6" s="519">
        <v>26655754</v>
      </c>
      <c r="H6" s="519">
        <v>3762649</v>
      </c>
      <c r="I6" s="543"/>
      <c r="J6" s="543"/>
      <c r="K6" s="520"/>
      <c r="L6" s="539">
        <f>SUM(B6:K6)</f>
        <v>103892988</v>
      </c>
    </row>
    <row r="7" spans="1:12" ht="21" customHeight="1" thickBot="1" x14ac:dyDescent="0.25">
      <c r="A7" s="548" t="s">
        <v>103</v>
      </c>
      <c r="B7" s="514"/>
      <c r="C7" s="165"/>
      <c r="D7" s="366">
        <v>126163</v>
      </c>
      <c r="E7" s="366"/>
      <c r="F7" s="165">
        <v>9268000</v>
      </c>
      <c r="G7" s="165"/>
      <c r="H7" s="165">
        <v>4254902</v>
      </c>
      <c r="I7" s="366">
        <v>745098</v>
      </c>
      <c r="J7" s="366"/>
      <c r="K7" s="447"/>
      <c r="L7" s="539">
        <f t="shared" ref="L7:L34" si="0">SUM(B7:K7)</f>
        <v>14394163</v>
      </c>
    </row>
    <row r="8" spans="1:12" s="66" customFormat="1" ht="31.5" customHeight="1" thickBot="1" x14ac:dyDescent="0.25">
      <c r="A8" s="490" t="s">
        <v>97</v>
      </c>
      <c r="B8" s="278">
        <v>100000</v>
      </c>
      <c r="C8" s="366"/>
      <c r="D8" s="366">
        <v>33012178</v>
      </c>
      <c r="E8" s="366"/>
      <c r="F8" s="366"/>
      <c r="G8" s="366"/>
      <c r="H8" s="366">
        <v>98111225</v>
      </c>
      <c r="I8" s="366">
        <v>2433794</v>
      </c>
      <c r="J8" s="366"/>
      <c r="K8" s="544"/>
      <c r="L8" s="539">
        <f>SUM(B8:K8)</f>
        <v>133657197</v>
      </c>
    </row>
    <row r="9" spans="1:12" s="66" customFormat="1" ht="31.5" customHeight="1" thickBot="1" x14ac:dyDescent="0.25">
      <c r="A9" s="490" t="s">
        <v>292</v>
      </c>
      <c r="B9" s="278"/>
      <c r="C9" s="366"/>
      <c r="D9" s="366"/>
      <c r="E9" s="366"/>
      <c r="F9" s="366"/>
      <c r="G9" s="366"/>
      <c r="H9" s="366"/>
      <c r="I9" s="366"/>
      <c r="J9" s="366"/>
      <c r="K9" s="544">
        <v>13032816</v>
      </c>
      <c r="L9" s="539">
        <f t="shared" si="0"/>
        <v>13032816</v>
      </c>
    </row>
    <row r="10" spans="1:12" s="66" customFormat="1" ht="31.5" customHeight="1" thickBot="1" x14ac:dyDescent="0.25">
      <c r="A10" s="490" t="s">
        <v>205</v>
      </c>
      <c r="B10" s="278"/>
      <c r="C10" s="366"/>
      <c r="D10" s="366"/>
      <c r="E10" s="366"/>
      <c r="F10" s="366">
        <v>35519000</v>
      </c>
      <c r="G10" s="366"/>
      <c r="H10" s="366"/>
      <c r="I10" s="366"/>
      <c r="J10" s="366"/>
      <c r="K10" s="544">
        <v>252537082</v>
      </c>
      <c r="L10" s="539">
        <f t="shared" si="0"/>
        <v>288056082</v>
      </c>
    </row>
    <row r="11" spans="1:12" s="66" customFormat="1" ht="21" customHeight="1" thickBot="1" x14ac:dyDescent="0.25">
      <c r="A11" s="491" t="s">
        <v>293</v>
      </c>
      <c r="B11" s="278"/>
      <c r="C11" s="366"/>
      <c r="D11" s="366"/>
      <c r="E11" s="366"/>
      <c r="F11" s="366">
        <v>13000000</v>
      </c>
      <c r="G11" s="366"/>
      <c r="H11" s="366"/>
      <c r="I11" s="366"/>
      <c r="J11" s="366"/>
      <c r="K11" s="544"/>
      <c r="L11" s="539">
        <f t="shared" si="0"/>
        <v>13000000</v>
      </c>
    </row>
    <row r="12" spans="1:12" s="66" customFormat="1" ht="21" customHeight="1" thickBot="1" x14ac:dyDescent="0.25">
      <c r="A12" s="491" t="s">
        <v>227</v>
      </c>
      <c r="B12" s="278">
        <v>97556680</v>
      </c>
      <c r="C12" s="366">
        <v>6340936</v>
      </c>
      <c r="D12" s="366">
        <v>3987702</v>
      </c>
      <c r="E12" s="366"/>
      <c r="F12" s="366"/>
      <c r="G12" s="366"/>
      <c r="H12" s="366">
        <v>650701</v>
      </c>
      <c r="I12" s="366"/>
      <c r="J12" s="366"/>
      <c r="K12" s="544"/>
      <c r="L12" s="539">
        <f t="shared" si="0"/>
        <v>108536019</v>
      </c>
    </row>
    <row r="13" spans="1:12" s="66" customFormat="1" ht="21" customHeight="1" thickBot="1" x14ac:dyDescent="0.25">
      <c r="A13" s="491" t="s">
        <v>102</v>
      </c>
      <c r="B13" s="278">
        <v>331505446</v>
      </c>
      <c r="C13" s="366">
        <v>22907819</v>
      </c>
      <c r="D13" s="366">
        <v>40149599</v>
      </c>
      <c r="E13" s="366"/>
      <c r="F13" s="366">
        <v>2476598</v>
      </c>
      <c r="G13" s="366"/>
      <c r="H13" s="366">
        <v>23927712</v>
      </c>
      <c r="I13" s="366"/>
      <c r="J13" s="366"/>
      <c r="K13" s="544"/>
      <c r="L13" s="539">
        <f t="shared" si="0"/>
        <v>420967174</v>
      </c>
    </row>
    <row r="14" spans="1:12" s="66" customFormat="1" ht="21" customHeight="1" thickBot="1" x14ac:dyDescent="0.25">
      <c r="A14" s="491" t="s">
        <v>294</v>
      </c>
      <c r="B14" s="278">
        <v>6079496</v>
      </c>
      <c r="C14" s="366">
        <v>796000</v>
      </c>
      <c r="D14" s="366">
        <v>14898000</v>
      </c>
      <c r="E14" s="366"/>
      <c r="F14" s="366"/>
      <c r="G14" s="366"/>
      <c r="H14" s="366">
        <v>1000000</v>
      </c>
      <c r="I14" s="366"/>
      <c r="J14" s="366"/>
      <c r="K14" s="544"/>
      <c r="L14" s="539">
        <f t="shared" si="0"/>
        <v>22773496</v>
      </c>
    </row>
    <row r="15" spans="1:12" s="66" customFormat="1" ht="21" customHeight="1" thickBot="1" x14ac:dyDescent="0.25">
      <c r="A15" s="491" t="s">
        <v>295</v>
      </c>
      <c r="B15" s="278"/>
      <c r="C15" s="366"/>
      <c r="D15" s="366">
        <v>3905096</v>
      </c>
      <c r="E15" s="366"/>
      <c r="F15" s="366"/>
      <c r="G15" s="366"/>
      <c r="H15" s="366">
        <v>214607174</v>
      </c>
      <c r="I15" s="366"/>
      <c r="J15" s="366"/>
      <c r="K15" s="544"/>
      <c r="L15" s="539">
        <f t="shared" si="0"/>
        <v>218512270</v>
      </c>
    </row>
    <row r="16" spans="1:12" s="492" customFormat="1" ht="21" customHeight="1" thickBot="1" x14ac:dyDescent="0.25">
      <c r="A16" s="491" t="s">
        <v>296</v>
      </c>
      <c r="B16" s="278"/>
      <c r="C16" s="366"/>
      <c r="D16" s="366">
        <v>11409518</v>
      </c>
      <c r="E16" s="366"/>
      <c r="F16" s="366"/>
      <c r="G16" s="366"/>
      <c r="H16" s="366"/>
      <c r="I16" s="366"/>
      <c r="J16" s="366"/>
      <c r="K16" s="544"/>
      <c r="L16" s="539">
        <f t="shared" si="0"/>
        <v>11409518</v>
      </c>
    </row>
    <row r="17" spans="1:12" s="492" customFormat="1" ht="21" customHeight="1" thickBot="1" x14ac:dyDescent="0.25">
      <c r="A17" s="491" t="s">
        <v>297</v>
      </c>
      <c r="B17" s="278"/>
      <c r="C17" s="366"/>
      <c r="D17" s="366">
        <v>3067000</v>
      </c>
      <c r="E17" s="366"/>
      <c r="F17" s="366"/>
      <c r="G17" s="366"/>
      <c r="H17" s="366"/>
      <c r="I17" s="366"/>
      <c r="J17" s="366"/>
      <c r="K17" s="544"/>
      <c r="L17" s="539">
        <f t="shared" si="0"/>
        <v>3067000</v>
      </c>
    </row>
    <row r="18" spans="1:12" s="492" customFormat="1" ht="21" customHeight="1" thickBot="1" x14ac:dyDescent="0.25">
      <c r="A18" s="491" t="s">
        <v>228</v>
      </c>
      <c r="B18" s="278"/>
      <c r="C18" s="366"/>
      <c r="D18" s="366">
        <v>721000</v>
      </c>
      <c r="E18" s="366"/>
      <c r="F18" s="366"/>
      <c r="G18" s="366"/>
      <c r="H18" s="366"/>
      <c r="I18" s="366"/>
      <c r="J18" s="366"/>
      <c r="K18" s="544"/>
      <c r="L18" s="539">
        <f t="shared" si="0"/>
        <v>721000</v>
      </c>
    </row>
    <row r="19" spans="1:12" s="492" customFormat="1" ht="21" customHeight="1" thickBot="1" x14ac:dyDescent="0.25">
      <c r="A19" s="549" t="s">
        <v>298</v>
      </c>
      <c r="B19" s="278"/>
      <c r="C19" s="366"/>
      <c r="D19" s="366">
        <v>635000</v>
      </c>
      <c r="E19" s="366"/>
      <c r="F19" s="366"/>
      <c r="G19" s="366"/>
      <c r="H19" s="366"/>
      <c r="I19" s="366"/>
      <c r="J19" s="366"/>
      <c r="K19" s="544"/>
      <c r="L19" s="539">
        <f t="shared" si="0"/>
        <v>635000</v>
      </c>
    </row>
    <row r="20" spans="1:12" s="95" customFormat="1" ht="21" customHeight="1" thickBot="1" x14ac:dyDescent="0.25">
      <c r="A20" s="549" t="s">
        <v>299</v>
      </c>
      <c r="B20" s="514"/>
      <c r="C20" s="165"/>
      <c r="D20" s="366"/>
      <c r="E20" s="366"/>
      <c r="F20" s="165"/>
      <c r="G20" s="165"/>
      <c r="H20" s="165">
        <v>6000000</v>
      </c>
      <c r="I20" s="366"/>
      <c r="J20" s="366"/>
      <c r="K20" s="447"/>
      <c r="L20" s="539">
        <f t="shared" si="0"/>
        <v>6000000</v>
      </c>
    </row>
    <row r="21" spans="1:12" s="492" customFormat="1" ht="21" customHeight="1" thickBot="1" x14ac:dyDescent="0.25">
      <c r="A21" s="490" t="s">
        <v>300</v>
      </c>
      <c r="B21" s="278"/>
      <c r="C21" s="366"/>
      <c r="D21" s="366">
        <v>25606500</v>
      </c>
      <c r="E21" s="366"/>
      <c r="F21" s="366"/>
      <c r="G21" s="366"/>
      <c r="H21" s="366"/>
      <c r="I21" s="366"/>
      <c r="J21" s="366"/>
      <c r="K21" s="544"/>
      <c r="L21" s="539">
        <f t="shared" si="0"/>
        <v>25606500</v>
      </c>
    </row>
    <row r="22" spans="1:12" s="492" customFormat="1" ht="21" customHeight="1" thickBot="1" x14ac:dyDescent="0.25">
      <c r="A22" s="491" t="s">
        <v>98</v>
      </c>
      <c r="B22" s="278">
        <v>29238550</v>
      </c>
      <c r="C22" s="366">
        <v>3963000</v>
      </c>
      <c r="D22" s="366">
        <v>10412000</v>
      </c>
      <c r="E22" s="366"/>
      <c r="F22" s="366"/>
      <c r="G22" s="366"/>
      <c r="H22" s="366">
        <v>2850000</v>
      </c>
      <c r="I22" s="366"/>
      <c r="J22" s="366"/>
      <c r="K22" s="544"/>
      <c r="L22" s="539">
        <f t="shared" si="0"/>
        <v>46463550</v>
      </c>
    </row>
    <row r="23" spans="1:12" s="66" customFormat="1" ht="21" customHeight="1" thickBot="1" x14ac:dyDescent="0.25">
      <c r="A23" s="491" t="s">
        <v>126</v>
      </c>
      <c r="B23" s="278">
        <v>31980700</v>
      </c>
      <c r="C23" s="366">
        <v>4039000</v>
      </c>
      <c r="D23" s="366">
        <v>57041077</v>
      </c>
      <c r="E23" s="366"/>
      <c r="F23" s="366"/>
      <c r="G23" s="366"/>
      <c r="H23" s="366">
        <v>600000</v>
      </c>
      <c r="I23" s="366"/>
      <c r="J23" s="366"/>
      <c r="K23" s="544"/>
      <c r="L23" s="539">
        <f t="shared" si="0"/>
        <v>93660777</v>
      </c>
    </row>
    <row r="24" spans="1:12" s="66" customFormat="1" ht="21" customHeight="1" thickBot="1" x14ac:dyDescent="0.25">
      <c r="A24" s="491" t="s">
        <v>127</v>
      </c>
      <c r="B24" s="278"/>
      <c r="C24" s="366"/>
      <c r="D24" s="366">
        <v>9292000</v>
      </c>
      <c r="E24" s="366"/>
      <c r="F24" s="366"/>
      <c r="G24" s="366"/>
      <c r="H24" s="366">
        <v>144900</v>
      </c>
      <c r="I24" s="366"/>
      <c r="J24" s="366"/>
      <c r="K24" s="544"/>
      <c r="L24" s="539">
        <f t="shared" si="0"/>
        <v>9436900</v>
      </c>
    </row>
    <row r="25" spans="1:12" s="66" customFormat="1" ht="21" customHeight="1" thickBot="1" x14ac:dyDescent="0.25">
      <c r="A25" s="491" t="s">
        <v>331</v>
      </c>
      <c r="B25" s="278"/>
      <c r="C25" s="366"/>
      <c r="D25" s="366">
        <v>686000</v>
      </c>
      <c r="E25" s="366"/>
      <c r="F25" s="366"/>
      <c r="G25" s="366"/>
      <c r="H25" s="366"/>
      <c r="I25" s="366"/>
      <c r="J25" s="366"/>
      <c r="K25" s="544"/>
      <c r="L25" s="539">
        <f t="shared" si="0"/>
        <v>686000</v>
      </c>
    </row>
    <row r="26" spans="1:12" s="66" customFormat="1" ht="21" customHeight="1" thickBot="1" x14ac:dyDescent="0.25">
      <c r="A26" s="491" t="s">
        <v>333</v>
      </c>
      <c r="B26" s="278">
        <v>84160</v>
      </c>
      <c r="C26" s="366">
        <v>9848</v>
      </c>
      <c r="D26" s="366">
        <v>187992</v>
      </c>
      <c r="E26" s="366"/>
      <c r="F26" s="366"/>
      <c r="G26" s="366"/>
      <c r="H26" s="366"/>
      <c r="I26" s="366"/>
      <c r="J26" s="366"/>
      <c r="K26" s="544"/>
      <c r="L26" s="539">
        <f t="shared" si="0"/>
        <v>282000</v>
      </c>
    </row>
    <row r="27" spans="1:12" s="66" customFormat="1" ht="21" customHeight="1" thickBot="1" x14ac:dyDescent="0.25">
      <c r="A27" s="491" t="s">
        <v>195</v>
      </c>
      <c r="B27" s="278"/>
      <c r="C27" s="366"/>
      <c r="D27" s="366"/>
      <c r="E27" s="366"/>
      <c r="F27" s="366">
        <v>8224455</v>
      </c>
      <c r="G27" s="366"/>
      <c r="H27" s="366"/>
      <c r="I27" s="366"/>
      <c r="J27" s="366"/>
      <c r="K27" s="544"/>
      <c r="L27" s="539">
        <f t="shared" si="0"/>
        <v>8224455</v>
      </c>
    </row>
    <row r="28" spans="1:12" s="66" customFormat="1" ht="21" customHeight="1" thickBot="1" x14ac:dyDescent="0.25">
      <c r="A28" s="491" t="s">
        <v>309</v>
      </c>
      <c r="B28" s="278">
        <v>854513</v>
      </c>
      <c r="C28" s="366">
        <v>417358</v>
      </c>
      <c r="D28" s="366">
        <v>1058529</v>
      </c>
      <c r="E28" s="366"/>
      <c r="F28" s="366"/>
      <c r="G28" s="366"/>
      <c r="H28" s="366"/>
      <c r="I28" s="366"/>
      <c r="J28" s="366"/>
      <c r="K28" s="544"/>
      <c r="L28" s="539">
        <f t="shared" si="0"/>
        <v>2330400</v>
      </c>
    </row>
    <row r="29" spans="1:12" s="66" customFormat="1" ht="21" customHeight="1" thickBot="1" x14ac:dyDescent="0.25">
      <c r="A29" s="491" t="s">
        <v>301</v>
      </c>
      <c r="B29" s="278"/>
      <c r="C29" s="366"/>
      <c r="D29" s="366">
        <v>17054000</v>
      </c>
      <c r="E29" s="366"/>
      <c r="F29" s="366"/>
      <c r="G29" s="366"/>
      <c r="H29" s="366"/>
      <c r="I29" s="366"/>
      <c r="J29" s="366"/>
      <c r="K29" s="544"/>
      <c r="L29" s="539">
        <f t="shared" si="0"/>
        <v>17054000</v>
      </c>
    </row>
    <row r="30" spans="1:12" s="66" customFormat="1" ht="21" customHeight="1" thickBot="1" x14ac:dyDescent="0.25">
      <c r="A30" s="491" t="s">
        <v>168</v>
      </c>
      <c r="B30" s="278"/>
      <c r="C30" s="366"/>
      <c r="D30" s="366"/>
      <c r="E30" s="366">
        <v>30000</v>
      </c>
      <c r="F30" s="366"/>
      <c r="G30" s="366"/>
      <c r="H30" s="366"/>
      <c r="I30" s="366"/>
      <c r="J30" s="366"/>
      <c r="K30" s="544"/>
      <c r="L30" s="539">
        <f t="shared" si="0"/>
        <v>30000</v>
      </c>
    </row>
    <row r="31" spans="1:12" s="66" customFormat="1" ht="28.5" customHeight="1" thickBot="1" x14ac:dyDescent="0.25">
      <c r="A31" s="493" t="s">
        <v>302</v>
      </c>
      <c r="B31" s="278"/>
      <c r="C31" s="366"/>
      <c r="D31" s="366">
        <v>9328363</v>
      </c>
      <c r="E31" s="366"/>
      <c r="F31" s="366"/>
      <c r="G31" s="366"/>
      <c r="H31" s="366"/>
      <c r="I31" s="366"/>
      <c r="J31" s="366"/>
      <c r="K31" s="544"/>
      <c r="L31" s="539">
        <f t="shared" si="0"/>
        <v>9328363</v>
      </c>
    </row>
    <row r="32" spans="1:12" s="66" customFormat="1" ht="21" customHeight="1" thickBot="1" x14ac:dyDescent="0.25">
      <c r="A32" s="491" t="s">
        <v>101</v>
      </c>
      <c r="B32" s="278">
        <v>6566450</v>
      </c>
      <c r="C32" s="366">
        <v>889300</v>
      </c>
      <c r="D32" s="366">
        <v>2381000</v>
      </c>
      <c r="E32" s="366"/>
      <c r="F32" s="366"/>
      <c r="G32" s="366"/>
      <c r="H32" s="366">
        <v>150000</v>
      </c>
      <c r="I32" s="542"/>
      <c r="J32" s="542"/>
      <c r="K32" s="544"/>
      <c r="L32" s="539">
        <f t="shared" si="0"/>
        <v>9986750</v>
      </c>
    </row>
    <row r="33" spans="1:12" s="66" customFormat="1" ht="31.9" customHeight="1" thickBot="1" x14ac:dyDescent="0.25">
      <c r="A33" s="490" t="s">
        <v>303</v>
      </c>
      <c r="B33" s="278"/>
      <c r="C33" s="366"/>
      <c r="D33" s="366"/>
      <c r="E33" s="366">
        <v>19733000</v>
      </c>
      <c r="F33" s="366">
        <v>3000000</v>
      </c>
      <c r="G33" s="366"/>
      <c r="H33" s="366"/>
      <c r="I33" s="366"/>
      <c r="J33" s="366"/>
      <c r="K33" s="544"/>
      <c r="L33" s="539">
        <f t="shared" si="0"/>
        <v>22733000</v>
      </c>
    </row>
    <row r="34" spans="1:12" ht="30.75" customHeight="1" thickBot="1" x14ac:dyDescent="0.25">
      <c r="A34" s="550" t="s">
        <v>304</v>
      </c>
      <c r="B34" s="537"/>
      <c r="C34" s="522"/>
      <c r="D34" s="545">
        <v>11048000</v>
      </c>
      <c r="E34" s="545"/>
      <c r="F34" s="522"/>
      <c r="G34" s="522"/>
      <c r="H34" s="522"/>
      <c r="I34" s="545"/>
      <c r="J34" s="522"/>
      <c r="K34" s="523">
        <v>52103363</v>
      </c>
      <c r="L34" s="539">
        <f t="shared" si="0"/>
        <v>63151363</v>
      </c>
    </row>
    <row r="35" spans="1:12" ht="21" customHeight="1" thickBot="1" x14ac:dyDescent="0.25">
      <c r="A35" s="540" t="s">
        <v>13</v>
      </c>
      <c r="B35" s="541">
        <f t="shared" ref="B35:K35" si="1">SUM(B6:B34)</f>
        <v>547152652</v>
      </c>
      <c r="C35" s="541">
        <f t="shared" si="1"/>
        <v>45310189</v>
      </c>
      <c r="D35" s="541">
        <f t="shared" si="1"/>
        <v>278147717</v>
      </c>
      <c r="E35" s="541">
        <f t="shared" si="1"/>
        <v>19763000</v>
      </c>
      <c r="F35" s="541">
        <f t="shared" si="1"/>
        <v>73688053</v>
      </c>
      <c r="G35" s="541">
        <f t="shared" si="1"/>
        <v>26655754</v>
      </c>
      <c r="H35" s="541">
        <f t="shared" si="1"/>
        <v>356059263</v>
      </c>
      <c r="I35" s="541">
        <f t="shared" si="1"/>
        <v>3178892</v>
      </c>
      <c r="J35" s="541">
        <f t="shared" si="1"/>
        <v>0</v>
      </c>
      <c r="K35" s="541">
        <f t="shared" si="1"/>
        <v>317673261</v>
      </c>
      <c r="L35" s="137">
        <f>SUM(B35:K35)</f>
        <v>1667628781</v>
      </c>
    </row>
    <row r="37" spans="1:12" x14ac:dyDescent="0.2">
      <c r="D37" s="331"/>
      <c r="E37" s="2"/>
      <c r="J37" s="89"/>
      <c r="L37" s="2"/>
    </row>
    <row r="38" spans="1:12" x14ac:dyDescent="0.2">
      <c r="D38" s="331"/>
      <c r="L38" s="2"/>
    </row>
    <row r="39" spans="1:12" x14ac:dyDescent="0.2">
      <c r="A39" s="494"/>
      <c r="B39" s="29"/>
      <c r="C39" s="29"/>
      <c r="D39" s="29"/>
      <c r="E39" s="29"/>
      <c r="F39" s="29"/>
      <c r="G39" s="29"/>
      <c r="H39" s="29"/>
    </row>
    <row r="40" spans="1:12" x14ac:dyDescent="0.2">
      <c r="A40" s="96"/>
      <c r="B40" s="32"/>
      <c r="C40" s="32"/>
      <c r="D40" s="32"/>
      <c r="E40" s="32"/>
      <c r="F40" s="32"/>
      <c r="G40" s="32"/>
      <c r="H40" s="32"/>
      <c r="K40" s="89"/>
      <c r="L40" s="89"/>
    </row>
    <row r="41" spans="1:12" x14ac:dyDescent="0.2">
      <c r="A41" s="33"/>
      <c r="B41" s="84"/>
      <c r="C41" s="84"/>
      <c r="D41" s="84"/>
      <c r="E41" s="84"/>
      <c r="F41" s="84"/>
      <c r="G41" s="84"/>
      <c r="H41" s="84"/>
    </row>
    <row r="42" spans="1:12" x14ac:dyDescent="0.2">
      <c r="A42" s="33"/>
      <c r="B42" s="84"/>
      <c r="C42" s="84"/>
      <c r="D42" s="85"/>
      <c r="E42" s="84"/>
      <c r="F42" s="84"/>
      <c r="G42" s="84"/>
      <c r="H42" s="84"/>
    </row>
    <row r="43" spans="1:12" x14ac:dyDescent="0.2">
      <c r="A43" s="33"/>
      <c r="B43" s="84"/>
      <c r="C43" s="84"/>
      <c r="D43" s="84"/>
      <c r="E43" s="84"/>
      <c r="F43" s="84"/>
      <c r="G43" s="84"/>
      <c r="H43" s="84"/>
    </row>
    <row r="44" spans="1:12" x14ac:dyDescent="0.2">
      <c r="A44" s="33"/>
      <c r="B44" s="84"/>
      <c r="C44" s="84"/>
      <c r="D44" s="84"/>
      <c r="E44" s="84"/>
      <c r="F44" s="84"/>
      <c r="G44" s="84"/>
      <c r="H44" s="84"/>
    </row>
    <row r="45" spans="1:12" x14ac:dyDescent="0.2">
      <c r="A45" s="33"/>
      <c r="B45" s="84"/>
      <c r="C45" s="84"/>
      <c r="D45" s="84"/>
      <c r="E45" s="84"/>
      <c r="F45" s="84"/>
      <c r="G45" s="84"/>
      <c r="H45" s="84"/>
    </row>
    <row r="46" spans="1:12" x14ac:dyDescent="0.2">
      <c r="A46" s="33"/>
      <c r="B46" s="84"/>
      <c r="C46" s="84"/>
      <c r="D46" s="84"/>
      <c r="E46" s="84"/>
      <c r="F46" s="84"/>
      <c r="G46" s="84"/>
      <c r="H46" s="84"/>
    </row>
    <row r="47" spans="1:12" x14ac:dyDescent="0.2">
      <c r="A47" s="33"/>
      <c r="B47" s="84"/>
      <c r="C47" s="84"/>
      <c r="D47" s="84"/>
      <c r="E47" s="84"/>
      <c r="F47" s="84"/>
      <c r="G47" s="84"/>
      <c r="H47" s="84"/>
    </row>
    <row r="48" spans="1:12" x14ac:dyDescent="0.2">
      <c r="A48" s="33"/>
      <c r="B48" s="84"/>
      <c r="C48" s="84"/>
      <c r="D48" s="84"/>
      <c r="E48" s="84"/>
      <c r="F48" s="84"/>
      <c r="G48" s="84"/>
      <c r="H48" s="84"/>
    </row>
    <row r="49" spans="1:9" x14ac:dyDescent="0.2">
      <c r="A49" s="33"/>
      <c r="B49" s="84"/>
      <c r="C49" s="84"/>
      <c r="D49" s="84"/>
      <c r="E49" s="84"/>
      <c r="F49" s="84"/>
      <c r="G49" s="84"/>
      <c r="H49" s="84"/>
    </row>
    <row r="50" spans="1:9" x14ac:dyDescent="0.2">
      <c r="A50" s="33"/>
      <c r="B50" s="84"/>
      <c r="C50" s="84"/>
      <c r="D50" s="84"/>
      <c r="E50" s="84"/>
      <c r="F50" s="84"/>
      <c r="G50" s="84"/>
      <c r="H50" s="84"/>
    </row>
    <row r="51" spans="1:9" x14ac:dyDescent="0.2">
      <c r="A51" s="33"/>
      <c r="B51" s="84"/>
      <c r="C51" s="84"/>
      <c r="D51" s="84"/>
      <c r="E51" s="84"/>
      <c r="F51" s="84"/>
      <c r="G51" s="84"/>
      <c r="H51" s="84"/>
    </row>
    <row r="52" spans="1:9" x14ac:dyDescent="0.2">
      <c r="A52" s="33"/>
      <c r="B52" s="84"/>
      <c r="C52" s="84"/>
      <c r="D52" s="84"/>
      <c r="E52" s="84"/>
      <c r="F52" s="84"/>
      <c r="G52" s="84"/>
      <c r="H52" s="84"/>
      <c r="I52" s="1"/>
    </row>
    <row r="53" spans="1:9" x14ac:dyDescent="0.2">
      <c r="A53" s="33"/>
      <c r="B53" s="84"/>
      <c r="C53" s="84"/>
      <c r="D53" s="84"/>
      <c r="E53" s="84"/>
      <c r="F53" s="84"/>
      <c r="G53" s="84"/>
      <c r="H53" s="84"/>
    </row>
    <row r="54" spans="1:9" x14ac:dyDescent="0.2">
      <c r="A54" s="33"/>
      <c r="B54" s="84"/>
      <c r="C54" s="84"/>
      <c r="D54" s="84"/>
      <c r="E54" s="84"/>
      <c r="F54" s="84"/>
      <c r="G54" s="84"/>
      <c r="H54" s="84"/>
    </row>
    <row r="55" spans="1:9" x14ac:dyDescent="0.2">
      <c r="A55" s="96"/>
      <c r="B55" s="86"/>
      <c r="C55" s="86"/>
      <c r="D55" s="86"/>
      <c r="E55" s="86"/>
      <c r="F55" s="86"/>
      <c r="G55" s="86"/>
      <c r="H55" s="86"/>
    </row>
    <row r="56" spans="1:9" x14ac:dyDescent="0.2">
      <c r="B56" s="1"/>
      <c r="C56" s="1"/>
      <c r="D56" s="1"/>
      <c r="E56" s="1"/>
      <c r="F56" s="1"/>
      <c r="G56" s="1"/>
      <c r="H56" s="1"/>
    </row>
    <row r="57" spans="1:9" x14ac:dyDescent="0.2">
      <c r="B57" s="1"/>
      <c r="C57" s="1"/>
      <c r="D57" s="1"/>
      <c r="E57" s="1"/>
      <c r="F57" s="1"/>
      <c r="G57" s="1"/>
      <c r="H57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&amp;R11. sz. melléklet
......../2025.(VIII.28.)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3"/>
  <sheetViews>
    <sheetView view="pageLayout" topLeftCell="D1" zoomScaleNormal="100" zoomScaleSheetLayoutView="90" workbookViewId="0">
      <selection activeCell="A39" sqref="A39"/>
    </sheetView>
  </sheetViews>
  <sheetFormatPr defaultRowHeight="12.75" x14ac:dyDescent="0.2"/>
  <cols>
    <col min="1" max="1" width="49" customWidth="1"/>
    <col min="2" max="2" width="16.570312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  <col min="13" max="13" width="13.7109375" style="331" bestFit="1" customWidth="1"/>
  </cols>
  <sheetData>
    <row r="2" spans="1:13" ht="15.75" x14ac:dyDescent="0.25">
      <c r="A2" s="707" t="s">
        <v>334</v>
      </c>
      <c r="B2" s="708"/>
      <c r="C2" s="708"/>
      <c r="D2" s="708"/>
      <c r="E2" s="708"/>
      <c r="F2" s="708"/>
      <c r="G2" s="708"/>
      <c r="H2" s="708"/>
      <c r="I2" s="709"/>
      <c r="J2" s="709"/>
      <c r="K2" s="709"/>
      <c r="L2" s="709"/>
    </row>
    <row r="3" spans="1:13" x14ac:dyDescent="0.2">
      <c r="L3" s="172"/>
    </row>
    <row r="4" spans="1:13" x14ac:dyDescent="0.2">
      <c r="E4" s="2"/>
      <c r="J4" s="89"/>
      <c r="L4" s="3"/>
    </row>
    <row r="5" spans="1:13" ht="13.5" thickBot="1" x14ac:dyDescent="0.25"/>
    <row r="6" spans="1:13" ht="102" customHeight="1" thickBot="1" x14ac:dyDescent="0.25">
      <c r="A6" s="663" t="s">
        <v>96</v>
      </c>
      <c r="B6" s="108" t="s">
        <v>111</v>
      </c>
      <c r="C6" s="108" t="s">
        <v>122</v>
      </c>
      <c r="D6" s="108" t="s">
        <v>113</v>
      </c>
      <c r="E6" s="108" t="s">
        <v>123</v>
      </c>
      <c r="F6" s="108" t="s">
        <v>119</v>
      </c>
      <c r="G6" s="108" t="s">
        <v>206</v>
      </c>
      <c r="H6" s="108" t="s">
        <v>115</v>
      </c>
      <c r="I6" s="108" t="s">
        <v>116</v>
      </c>
      <c r="J6" s="108" t="s">
        <v>117</v>
      </c>
      <c r="K6" s="108" t="s">
        <v>125</v>
      </c>
      <c r="L6" s="109" t="s">
        <v>24</v>
      </c>
      <c r="M6"/>
    </row>
    <row r="7" spans="1:13" ht="21" customHeight="1" thickBot="1" x14ac:dyDescent="0.25">
      <c r="A7" s="665"/>
      <c r="B7" s="524" t="s">
        <v>264</v>
      </c>
      <c r="C7" s="524" t="s">
        <v>264</v>
      </c>
      <c r="D7" s="524" t="s">
        <v>264</v>
      </c>
      <c r="E7" s="524" t="s">
        <v>264</v>
      </c>
      <c r="F7" s="524" t="s">
        <v>264</v>
      </c>
      <c r="G7" s="524" t="s">
        <v>264</v>
      </c>
      <c r="H7" s="524" t="s">
        <v>264</v>
      </c>
      <c r="I7" s="524" t="s">
        <v>264</v>
      </c>
      <c r="J7" s="524" t="s">
        <v>264</v>
      </c>
      <c r="K7" s="524" t="s">
        <v>264</v>
      </c>
      <c r="L7" s="132" t="s">
        <v>264</v>
      </c>
      <c r="M7"/>
    </row>
    <row r="8" spans="1:13" ht="21" customHeight="1" thickBot="1" x14ac:dyDescent="0.25">
      <c r="A8" s="547" t="s">
        <v>291</v>
      </c>
      <c r="B8" s="546">
        <v>43186657</v>
      </c>
      <c r="C8" s="519">
        <v>5946928</v>
      </c>
      <c r="D8" s="543">
        <v>22141000</v>
      </c>
      <c r="E8" s="543"/>
      <c r="F8" s="519">
        <f>28855754-G8</f>
        <v>2200000</v>
      </c>
      <c r="G8" s="519">
        <v>26655754</v>
      </c>
      <c r="H8" s="519">
        <v>3762649</v>
      </c>
      <c r="I8" s="543"/>
      <c r="J8" s="543"/>
      <c r="K8" s="520"/>
      <c r="L8" s="539">
        <f>SUM(B8:K8)</f>
        <v>103892988</v>
      </c>
      <c r="M8"/>
    </row>
    <row r="9" spans="1:13" ht="21" customHeight="1" thickBot="1" x14ac:dyDescent="0.25">
      <c r="A9" s="548" t="s">
        <v>103</v>
      </c>
      <c r="B9" s="514"/>
      <c r="C9" s="165"/>
      <c r="D9" s="366">
        <v>126163</v>
      </c>
      <c r="E9" s="366"/>
      <c r="F9" s="165">
        <v>9268000</v>
      </c>
      <c r="G9" s="165"/>
      <c r="H9" s="165">
        <v>4254902</v>
      </c>
      <c r="I9" s="366">
        <v>745098</v>
      </c>
      <c r="J9" s="366"/>
      <c r="K9" s="447"/>
      <c r="L9" s="539">
        <f t="shared" ref="L9:L32" si="0">SUM(B9:K9)</f>
        <v>14394163</v>
      </c>
      <c r="M9"/>
    </row>
    <row r="10" spans="1:13" s="66" customFormat="1" ht="31.5" customHeight="1" thickBot="1" x14ac:dyDescent="0.25">
      <c r="A10" s="490" t="s">
        <v>97</v>
      </c>
      <c r="B10" s="278">
        <v>100000</v>
      </c>
      <c r="C10" s="366"/>
      <c r="D10" s="366">
        <v>33012178</v>
      </c>
      <c r="E10" s="366"/>
      <c r="F10" s="366"/>
      <c r="G10" s="366"/>
      <c r="H10" s="366">
        <v>98111225</v>
      </c>
      <c r="I10" s="366">
        <v>2433794</v>
      </c>
      <c r="J10" s="366"/>
      <c r="K10" s="544"/>
      <c r="L10" s="539">
        <f>SUM(B10:K10)</f>
        <v>133657197</v>
      </c>
    </row>
    <row r="11" spans="1:13" s="66" customFormat="1" ht="31.5" customHeight="1" thickBot="1" x14ac:dyDescent="0.25">
      <c r="A11" s="490" t="s">
        <v>292</v>
      </c>
      <c r="B11" s="278"/>
      <c r="C11" s="366"/>
      <c r="D11" s="366"/>
      <c r="E11" s="366"/>
      <c r="F11" s="366"/>
      <c r="G11" s="366"/>
      <c r="H11" s="366"/>
      <c r="I11" s="366"/>
      <c r="J11" s="366"/>
      <c r="K11" s="544">
        <v>13032816</v>
      </c>
      <c r="L11" s="539">
        <f t="shared" si="0"/>
        <v>13032816</v>
      </c>
    </row>
    <row r="12" spans="1:13" s="66" customFormat="1" ht="31.5" customHeight="1" thickBot="1" x14ac:dyDescent="0.25">
      <c r="A12" s="490" t="s">
        <v>205</v>
      </c>
      <c r="B12" s="278"/>
      <c r="C12" s="366"/>
      <c r="D12" s="366"/>
      <c r="E12" s="366"/>
      <c r="F12" s="366">
        <f>35519000-30100000</f>
        <v>5419000</v>
      </c>
      <c r="G12" s="366"/>
      <c r="H12" s="366"/>
      <c r="I12" s="366"/>
      <c r="J12" s="366"/>
      <c r="K12" s="544">
        <v>252537082</v>
      </c>
      <c r="L12" s="539">
        <f t="shared" si="0"/>
        <v>257956082</v>
      </c>
    </row>
    <row r="13" spans="1:13" s="66" customFormat="1" ht="21" customHeight="1" thickBot="1" x14ac:dyDescent="0.25">
      <c r="A13" s="491" t="s">
        <v>293</v>
      </c>
      <c r="B13" s="278"/>
      <c r="C13" s="366"/>
      <c r="D13" s="366"/>
      <c r="E13" s="366"/>
      <c r="F13" s="366">
        <v>13000000</v>
      </c>
      <c r="G13" s="366"/>
      <c r="H13" s="366"/>
      <c r="I13" s="366"/>
      <c r="J13" s="366"/>
      <c r="K13" s="544"/>
      <c r="L13" s="539">
        <f t="shared" si="0"/>
        <v>13000000</v>
      </c>
    </row>
    <row r="14" spans="1:13" s="66" customFormat="1" ht="21" customHeight="1" thickBot="1" x14ac:dyDescent="0.25">
      <c r="A14" s="491" t="s">
        <v>227</v>
      </c>
      <c r="B14" s="278">
        <v>97556680</v>
      </c>
      <c r="C14" s="366">
        <v>6340936</v>
      </c>
      <c r="D14" s="366">
        <v>3987702</v>
      </c>
      <c r="E14" s="366"/>
      <c r="F14" s="366"/>
      <c r="G14" s="366"/>
      <c r="H14" s="366">
        <v>650701</v>
      </c>
      <c r="I14" s="366"/>
      <c r="J14" s="366"/>
      <c r="K14" s="544"/>
      <c r="L14" s="539">
        <f t="shared" si="0"/>
        <v>108536019</v>
      </c>
    </row>
    <row r="15" spans="1:13" s="66" customFormat="1" ht="21" customHeight="1" thickBot="1" x14ac:dyDescent="0.25">
      <c r="A15" s="491" t="s">
        <v>102</v>
      </c>
      <c r="B15" s="278">
        <v>331505446</v>
      </c>
      <c r="C15" s="366">
        <v>22907819</v>
      </c>
      <c r="D15" s="366">
        <v>40149599</v>
      </c>
      <c r="E15" s="366"/>
      <c r="F15" s="366">
        <v>2476598</v>
      </c>
      <c r="G15" s="366"/>
      <c r="H15" s="366">
        <v>23927712</v>
      </c>
      <c r="I15" s="366"/>
      <c r="J15" s="366"/>
      <c r="K15" s="544"/>
      <c r="L15" s="539">
        <f t="shared" si="0"/>
        <v>420967174</v>
      </c>
    </row>
    <row r="16" spans="1:13" s="66" customFormat="1" ht="21" customHeight="1" thickBot="1" x14ac:dyDescent="0.25">
      <c r="A16" s="491" t="s">
        <v>294</v>
      </c>
      <c r="B16" s="278">
        <v>6079496</v>
      </c>
      <c r="C16" s="366">
        <v>796000</v>
      </c>
      <c r="D16" s="366">
        <v>14898000</v>
      </c>
      <c r="E16" s="366"/>
      <c r="F16" s="366"/>
      <c r="G16" s="366"/>
      <c r="H16" s="366">
        <v>1000000</v>
      </c>
      <c r="I16" s="366"/>
      <c r="J16" s="366"/>
      <c r="K16" s="544"/>
      <c r="L16" s="539">
        <f t="shared" si="0"/>
        <v>22773496</v>
      </c>
    </row>
    <row r="17" spans="1:13" s="66" customFormat="1" ht="21" customHeight="1" thickBot="1" x14ac:dyDescent="0.25">
      <c r="A17" s="491" t="s">
        <v>295</v>
      </c>
      <c r="B17" s="278"/>
      <c r="C17" s="366"/>
      <c r="D17" s="366">
        <v>3905096</v>
      </c>
      <c r="E17" s="366"/>
      <c r="F17" s="366"/>
      <c r="G17" s="366"/>
      <c r="H17" s="366">
        <v>214607174</v>
      </c>
      <c r="I17" s="366"/>
      <c r="J17" s="366"/>
      <c r="K17" s="544"/>
      <c r="L17" s="539">
        <f t="shared" si="0"/>
        <v>218512270</v>
      </c>
    </row>
    <row r="18" spans="1:13" s="492" customFormat="1" ht="21" customHeight="1" thickBot="1" x14ac:dyDescent="0.25">
      <c r="A18" s="491" t="s">
        <v>296</v>
      </c>
      <c r="B18" s="278"/>
      <c r="C18" s="366"/>
      <c r="D18" s="366">
        <v>11409518</v>
      </c>
      <c r="E18" s="366"/>
      <c r="F18" s="366"/>
      <c r="G18" s="366"/>
      <c r="H18" s="366"/>
      <c r="I18" s="366"/>
      <c r="J18" s="366"/>
      <c r="K18" s="544"/>
      <c r="L18" s="539">
        <f t="shared" si="0"/>
        <v>11409518</v>
      </c>
    </row>
    <row r="19" spans="1:13" s="492" customFormat="1" ht="21" customHeight="1" thickBot="1" x14ac:dyDescent="0.25">
      <c r="A19" s="491" t="s">
        <v>297</v>
      </c>
      <c r="B19" s="278"/>
      <c r="C19" s="366"/>
      <c r="D19" s="366">
        <v>3067000</v>
      </c>
      <c r="E19" s="366"/>
      <c r="F19" s="366"/>
      <c r="G19" s="366"/>
      <c r="H19" s="366"/>
      <c r="I19" s="366"/>
      <c r="J19" s="366"/>
      <c r="K19" s="544"/>
      <c r="L19" s="539">
        <f t="shared" si="0"/>
        <v>3067000</v>
      </c>
    </row>
    <row r="20" spans="1:13" s="492" customFormat="1" ht="21" customHeight="1" thickBot="1" x14ac:dyDescent="0.25">
      <c r="A20" s="491" t="s">
        <v>228</v>
      </c>
      <c r="B20" s="278"/>
      <c r="C20" s="366"/>
      <c r="D20" s="366">
        <v>721000</v>
      </c>
      <c r="E20" s="366"/>
      <c r="F20" s="366"/>
      <c r="G20" s="366"/>
      <c r="H20" s="366"/>
      <c r="I20" s="366"/>
      <c r="J20" s="366"/>
      <c r="K20" s="544"/>
      <c r="L20" s="539">
        <f t="shared" si="0"/>
        <v>721000</v>
      </c>
    </row>
    <row r="21" spans="1:13" s="492" customFormat="1" ht="21" customHeight="1" thickBot="1" x14ac:dyDescent="0.25">
      <c r="A21" s="549" t="s">
        <v>298</v>
      </c>
      <c r="B21" s="278"/>
      <c r="C21" s="366"/>
      <c r="D21" s="366">
        <v>635000</v>
      </c>
      <c r="E21" s="366"/>
      <c r="F21" s="366"/>
      <c r="G21" s="366"/>
      <c r="H21" s="366"/>
      <c r="I21" s="366"/>
      <c r="J21" s="366"/>
      <c r="K21" s="544"/>
      <c r="L21" s="539">
        <f t="shared" si="0"/>
        <v>635000</v>
      </c>
    </row>
    <row r="22" spans="1:13" s="95" customFormat="1" ht="21" customHeight="1" thickBot="1" x14ac:dyDescent="0.25">
      <c r="A22" s="549" t="s">
        <v>299</v>
      </c>
      <c r="B22" s="514"/>
      <c r="C22" s="165"/>
      <c r="D22" s="366"/>
      <c r="E22" s="366"/>
      <c r="F22" s="165"/>
      <c r="G22" s="165"/>
      <c r="H22" s="165">
        <v>6000000</v>
      </c>
      <c r="I22" s="366"/>
      <c r="J22" s="366"/>
      <c r="K22" s="447"/>
      <c r="L22" s="539">
        <f t="shared" si="0"/>
        <v>6000000</v>
      </c>
    </row>
    <row r="23" spans="1:13" s="492" customFormat="1" ht="21" customHeight="1" thickBot="1" x14ac:dyDescent="0.25">
      <c r="A23" s="490" t="s">
        <v>300</v>
      </c>
      <c r="B23" s="278"/>
      <c r="C23" s="366"/>
      <c r="D23" s="366">
        <v>25606500</v>
      </c>
      <c r="E23" s="366"/>
      <c r="F23" s="366"/>
      <c r="G23" s="366"/>
      <c r="H23" s="366"/>
      <c r="I23" s="366"/>
      <c r="J23" s="366"/>
      <c r="K23" s="544"/>
      <c r="L23" s="539">
        <f t="shared" si="0"/>
        <v>25606500</v>
      </c>
    </row>
    <row r="24" spans="1:13" s="492" customFormat="1" ht="21" customHeight="1" thickBot="1" x14ac:dyDescent="0.25">
      <c r="A24" s="491" t="s">
        <v>98</v>
      </c>
      <c r="B24" s="278">
        <f>29238550-Önk.önként.váll.fel.kiad.13.!B9</f>
        <v>24608950</v>
      </c>
      <c r="C24" s="366">
        <f>3963000-Önk.önként.váll.fel.kiad.13.!C9</f>
        <v>3346100</v>
      </c>
      <c r="D24" s="366">
        <v>10412000</v>
      </c>
      <c r="E24" s="366"/>
      <c r="F24" s="366"/>
      <c r="G24" s="366"/>
      <c r="H24" s="366">
        <v>2850000</v>
      </c>
      <c r="I24" s="366"/>
      <c r="J24" s="366"/>
      <c r="K24" s="544"/>
      <c r="L24" s="539">
        <f t="shared" si="0"/>
        <v>41217050</v>
      </c>
    </row>
    <row r="25" spans="1:13" s="66" customFormat="1" ht="21" customHeight="1" thickBot="1" x14ac:dyDescent="0.25">
      <c r="A25" s="491" t="s">
        <v>126</v>
      </c>
      <c r="B25" s="278">
        <v>31980700</v>
      </c>
      <c r="C25" s="366">
        <v>4039000</v>
      </c>
      <c r="D25" s="366">
        <v>57041077</v>
      </c>
      <c r="E25" s="366"/>
      <c r="F25" s="366"/>
      <c r="G25" s="366"/>
      <c r="H25" s="366">
        <v>600000</v>
      </c>
      <c r="I25" s="366"/>
      <c r="J25" s="366"/>
      <c r="K25" s="544"/>
      <c r="L25" s="539">
        <f t="shared" si="0"/>
        <v>93660777</v>
      </c>
    </row>
    <row r="26" spans="1:13" s="66" customFormat="1" ht="21" customHeight="1" thickBot="1" x14ac:dyDescent="0.25">
      <c r="A26" s="491" t="s">
        <v>331</v>
      </c>
      <c r="B26" s="278"/>
      <c r="C26" s="366"/>
      <c r="D26" s="366">
        <v>686000</v>
      </c>
      <c r="E26" s="366"/>
      <c r="F26" s="366"/>
      <c r="G26" s="366"/>
      <c r="H26" s="366"/>
      <c r="I26" s="366"/>
      <c r="J26" s="366"/>
      <c r="K26" s="544"/>
      <c r="L26" s="539">
        <f t="shared" si="0"/>
        <v>686000</v>
      </c>
    </row>
    <row r="27" spans="1:13" s="66" customFormat="1" ht="21" customHeight="1" thickBot="1" x14ac:dyDescent="0.25">
      <c r="A27" s="491" t="s">
        <v>333</v>
      </c>
      <c r="B27" s="278">
        <v>84160</v>
      </c>
      <c r="C27" s="366">
        <v>9848</v>
      </c>
      <c r="D27" s="366">
        <v>187992</v>
      </c>
      <c r="E27" s="366"/>
      <c r="F27" s="366"/>
      <c r="G27" s="366"/>
      <c r="H27" s="366"/>
      <c r="I27" s="366"/>
      <c r="J27" s="366"/>
      <c r="K27" s="544"/>
      <c r="L27" s="539">
        <f t="shared" si="0"/>
        <v>282000</v>
      </c>
    </row>
    <row r="28" spans="1:13" s="66" customFormat="1" ht="21" customHeight="1" thickBot="1" x14ac:dyDescent="0.25">
      <c r="A28" s="491" t="s">
        <v>309</v>
      </c>
      <c r="B28" s="278">
        <v>854513</v>
      </c>
      <c r="C28" s="366">
        <v>417358</v>
      </c>
      <c r="D28" s="366">
        <v>1058529</v>
      </c>
      <c r="E28" s="366"/>
      <c r="F28" s="366"/>
      <c r="G28" s="366"/>
      <c r="H28" s="366"/>
      <c r="I28" s="366"/>
      <c r="J28" s="366"/>
      <c r="K28" s="544"/>
      <c r="L28" s="539">
        <f t="shared" si="0"/>
        <v>2330400</v>
      </c>
    </row>
    <row r="29" spans="1:13" s="66" customFormat="1" ht="21" customHeight="1" thickBot="1" x14ac:dyDescent="0.25">
      <c r="A29" s="491" t="s">
        <v>301</v>
      </c>
      <c r="B29" s="278"/>
      <c r="C29" s="366"/>
      <c r="D29" s="366">
        <v>17054000</v>
      </c>
      <c r="E29" s="366"/>
      <c r="F29" s="366"/>
      <c r="G29" s="366"/>
      <c r="H29" s="366"/>
      <c r="I29" s="366"/>
      <c r="J29" s="366"/>
      <c r="K29" s="544"/>
      <c r="L29" s="539">
        <f t="shared" si="0"/>
        <v>17054000</v>
      </c>
    </row>
    <row r="30" spans="1:13" s="66" customFormat="1" ht="28.5" customHeight="1" thickBot="1" x14ac:dyDescent="0.25">
      <c r="A30" s="493" t="s">
        <v>302</v>
      </c>
      <c r="B30" s="278"/>
      <c r="C30" s="366"/>
      <c r="D30" s="366">
        <v>9328363</v>
      </c>
      <c r="E30" s="366"/>
      <c r="F30" s="366"/>
      <c r="G30" s="366"/>
      <c r="H30" s="366"/>
      <c r="I30" s="366"/>
      <c r="J30" s="366"/>
      <c r="K30" s="544"/>
      <c r="L30" s="539">
        <f t="shared" si="0"/>
        <v>9328363</v>
      </c>
    </row>
    <row r="31" spans="1:13" s="66" customFormat="1" ht="31.9" customHeight="1" thickBot="1" x14ac:dyDescent="0.25">
      <c r="A31" s="490" t="s">
        <v>303</v>
      </c>
      <c r="B31" s="278"/>
      <c r="C31" s="366"/>
      <c r="D31" s="366"/>
      <c r="E31" s="366">
        <f>19733000-3000000</f>
        <v>16733000</v>
      </c>
      <c r="F31" s="366"/>
      <c r="G31" s="366"/>
      <c r="H31" s="366"/>
      <c r="I31" s="366"/>
      <c r="J31" s="366"/>
      <c r="K31" s="544"/>
      <c r="L31" s="539">
        <f t="shared" si="0"/>
        <v>16733000</v>
      </c>
    </row>
    <row r="32" spans="1:13" ht="30.75" customHeight="1" thickBot="1" x14ac:dyDescent="0.25">
      <c r="A32" s="550" t="s">
        <v>304</v>
      </c>
      <c r="B32" s="537"/>
      <c r="C32" s="522"/>
      <c r="D32" s="545">
        <v>11048000</v>
      </c>
      <c r="E32" s="545"/>
      <c r="F32" s="522"/>
      <c r="G32" s="522"/>
      <c r="H32" s="522"/>
      <c r="I32" s="545"/>
      <c r="J32" s="522"/>
      <c r="K32" s="523">
        <v>52103363</v>
      </c>
      <c r="L32" s="539">
        <f t="shared" si="0"/>
        <v>63151363</v>
      </c>
      <c r="M32"/>
    </row>
    <row r="33" spans="1:13" ht="21" customHeight="1" thickBot="1" x14ac:dyDescent="0.25">
      <c r="A33" s="540" t="s">
        <v>13</v>
      </c>
      <c r="B33" s="541">
        <f t="shared" ref="B33:K33" si="1">SUM(B8:B32)</f>
        <v>535956602</v>
      </c>
      <c r="C33" s="541">
        <f t="shared" si="1"/>
        <v>43803989</v>
      </c>
      <c r="D33" s="541">
        <f t="shared" si="1"/>
        <v>266474717</v>
      </c>
      <c r="E33" s="541">
        <f t="shared" si="1"/>
        <v>16733000</v>
      </c>
      <c r="F33" s="541">
        <f t="shared" si="1"/>
        <v>32363598</v>
      </c>
      <c r="G33" s="541">
        <f t="shared" si="1"/>
        <v>26655754</v>
      </c>
      <c r="H33" s="541">
        <f t="shared" si="1"/>
        <v>355764363</v>
      </c>
      <c r="I33" s="541">
        <f t="shared" si="1"/>
        <v>3178892</v>
      </c>
      <c r="J33" s="541">
        <f t="shared" si="1"/>
        <v>0</v>
      </c>
      <c r="K33" s="541">
        <f t="shared" si="1"/>
        <v>317673261</v>
      </c>
      <c r="L33" s="137">
        <f>SUM(B33:K33)</f>
        <v>1598604176</v>
      </c>
      <c r="M33"/>
    </row>
  </sheetData>
  <mergeCells count="2">
    <mergeCell ref="A2:L2"/>
    <mergeCell ref="A6:A7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&amp;R12. sz. melléklet
......../2025.(VIII.28.)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view="pageLayout" topLeftCell="B1" zoomScaleNormal="100" workbookViewId="0">
      <selection activeCell="L7" sqref="L7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707" t="s">
        <v>335</v>
      </c>
      <c r="B2" s="708"/>
      <c r="C2" s="708"/>
      <c r="D2" s="708"/>
      <c r="E2" s="708"/>
      <c r="F2" s="708"/>
      <c r="G2" s="708"/>
      <c r="H2" s="708"/>
      <c r="I2" s="709"/>
      <c r="J2" s="709"/>
      <c r="K2" s="709"/>
      <c r="L2" s="709"/>
    </row>
    <row r="3" spans="1:12" x14ac:dyDescent="0.2">
      <c r="L3" s="172"/>
    </row>
    <row r="4" spans="1:12" x14ac:dyDescent="0.2">
      <c r="E4" s="2"/>
      <c r="J4" s="89"/>
      <c r="L4" s="3"/>
    </row>
    <row r="5" spans="1:12" ht="13.5" thickBot="1" x14ac:dyDescent="0.25"/>
    <row r="6" spans="1:12" ht="102" customHeight="1" thickBot="1" x14ac:dyDescent="0.25">
      <c r="A6" s="663" t="s">
        <v>96</v>
      </c>
      <c r="B6" s="108" t="s">
        <v>111</v>
      </c>
      <c r="C6" s="108" t="s">
        <v>122</v>
      </c>
      <c r="D6" s="108" t="s">
        <v>113</v>
      </c>
      <c r="E6" s="108" t="s">
        <v>123</v>
      </c>
      <c r="F6" s="108" t="s">
        <v>119</v>
      </c>
      <c r="G6" s="108" t="s">
        <v>206</v>
      </c>
      <c r="H6" s="108" t="s">
        <v>115</v>
      </c>
      <c r="I6" s="108" t="s">
        <v>116</v>
      </c>
      <c r="J6" s="108" t="s">
        <v>117</v>
      </c>
      <c r="K6" s="108" t="s">
        <v>125</v>
      </c>
      <c r="L6" s="109" t="s">
        <v>24</v>
      </c>
    </row>
    <row r="7" spans="1:12" ht="21" customHeight="1" thickBot="1" x14ac:dyDescent="0.25">
      <c r="A7" s="664"/>
      <c r="B7" s="524" t="s">
        <v>316</v>
      </c>
      <c r="C7" s="524" t="s">
        <v>316</v>
      </c>
      <c r="D7" s="524" t="s">
        <v>316</v>
      </c>
      <c r="E7" s="524" t="s">
        <v>316</v>
      </c>
      <c r="F7" s="524" t="s">
        <v>316</v>
      </c>
      <c r="G7" s="524" t="s">
        <v>316</v>
      </c>
      <c r="H7" s="524" t="s">
        <v>316</v>
      </c>
      <c r="I7" s="524" t="s">
        <v>316</v>
      </c>
      <c r="J7" s="524" t="s">
        <v>316</v>
      </c>
      <c r="K7" s="524" t="s">
        <v>316</v>
      </c>
      <c r="L7" s="132" t="s">
        <v>316</v>
      </c>
    </row>
    <row r="8" spans="1:12" ht="31.5" customHeight="1" thickBot="1" x14ac:dyDescent="0.25">
      <c r="A8" s="569" t="s">
        <v>205</v>
      </c>
      <c r="B8" s="570"/>
      <c r="C8" s="543"/>
      <c r="D8" s="543"/>
      <c r="E8" s="543"/>
      <c r="F8" s="543">
        <v>30100000</v>
      </c>
      <c r="G8" s="543"/>
      <c r="H8" s="543"/>
      <c r="I8" s="543"/>
      <c r="J8" s="543"/>
      <c r="K8" s="571"/>
      <c r="L8" s="539">
        <f t="shared" ref="L8:L14" si="0">SUM(B8:K8)</f>
        <v>30100000</v>
      </c>
    </row>
    <row r="9" spans="1:12" s="95" customFormat="1" ht="21" customHeight="1" thickBot="1" x14ac:dyDescent="0.25">
      <c r="A9" s="386" t="s">
        <v>98</v>
      </c>
      <c r="B9" s="375">
        <f>4529600+100000</f>
        <v>4629600</v>
      </c>
      <c r="C9" s="366">
        <f>588900+28000</f>
        <v>616900</v>
      </c>
      <c r="D9" s="366"/>
      <c r="E9" s="366"/>
      <c r="F9" s="366"/>
      <c r="G9" s="366"/>
      <c r="H9" s="366"/>
      <c r="I9" s="366"/>
      <c r="J9" s="366"/>
      <c r="K9" s="544"/>
      <c r="L9" s="539">
        <f t="shared" si="0"/>
        <v>5246500</v>
      </c>
    </row>
    <row r="10" spans="1:12" s="66" customFormat="1" ht="21" customHeight="1" thickBot="1" x14ac:dyDescent="0.25">
      <c r="A10" s="386" t="s">
        <v>127</v>
      </c>
      <c r="B10" s="375"/>
      <c r="C10" s="366"/>
      <c r="D10" s="366">
        <v>9292000</v>
      </c>
      <c r="E10" s="366"/>
      <c r="F10" s="366"/>
      <c r="G10" s="366"/>
      <c r="H10" s="366">
        <v>144900</v>
      </c>
      <c r="I10" s="366"/>
      <c r="J10" s="366"/>
      <c r="K10" s="544"/>
      <c r="L10" s="539">
        <f t="shared" ref="L10" si="1">SUM(B10:K10)</f>
        <v>9436900</v>
      </c>
    </row>
    <row r="11" spans="1:12" ht="21" customHeight="1" thickBot="1" x14ac:dyDescent="0.25">
      <c r="A11" s="169" t="s">
        <v>195</v>
      </c>
      <c r="B11" s="373"/>
      <c r="C11" s="165"/>
      <c r="D11" s="366"/>
      <c r="E11" s="366"/>
      <c r="F11" s="366">
        <v>8224455</v>
      </c>
      <c r="G11" s="165"/>
      <c r="H11" s="165"/>
      <c r="I11" s="366"/>
      <c r="J11" s="366"/>
      <c r="K11" s="447"/>
      <c r="L11" s="539">
        <f t="shared" si="0"/>
        <v>8224455</v>
      </c>
    </row>
    <row r="12" spans="1:12" ht="21" customHeight="1" thickBot="1" x14ac:dyDescent="0.25">
      <c r="A12" s="387" t="s">
        <v>168</v>
      </c>
      <c r="B12" s="375"/>
      <c r="C12" s="366"/>
      <c r="D12" s="366"/>
      <c r="E12" s="366">
        <v>30000</v>
      </c>
      <c r="F12" s="366"/>
      <c r="G12" s="366"/>
      <c r="H12" s="366"/>
      <c r="I12" s="366"/>
      <c r="J12" s="366"/>
      <c r="K12" s="544"/>
      <c r="L12" s="539">
        <f t="shared" si="0"/>
        <v>30000</v>
      </c>
    </row>
    <row r="13" spans="1:12" ht="21" customHeight="1" thickBot="1" x14ac:dyDescent="0.25">
      <c r="A13" s="169" t="s">
        <v>101</v>
      </c>
      <c r="B13" s="375">
        <v>6566450</v>
      </c>
      <c r="C13" s="366">
        <v>889300</v>
      </c>
      <c r="D13" s="366">
        <v>2381000</v>
      </c>
      <c r="E13" s="366"/>
      <c r="F13" s="366"/>
      <c r="G13" s="366"/>
      <c r="H13" s="366">
        <v>150000</v>
      </c>
      <c r="I13" s="542"/>
      <c r="J13" s="542"/>
      <c r="K13" s="544"/>
      <c r="L13" s="539">
        <f t="shared" ref="L13" si="2">SUM(B13:K13)</f>
        <v>9986750</v>
      </c>
    </row>
    <row r="14" spans="1:12" ht="21" customHeight="1" thickBot="1" x14ac:dyDescent="0.25">
      <c r="A14" s="387" t="s">
        <v>128</v>
      </c>
      <c r="B14" s="572"/>
      <c r="C14" s="545"/>
      <c r="D14" s="545"/>
      <c r="E14" s="545">
        <v>3000000</v>
      </c>
      <c r="F14" s="545">
        <v>3000000</v>
      </c>
      <c r="G14" s="545"/>
      <c r="H14" s="545"/>
      <c r="I14" s="545"/>
      <c r="J14" s="545"/>
      <c r="K14" s="573"/>
      <c r="L14" s="539">
        <f t="shared" si="0"/>
        <v>6000000</v>
      </c>
    </row>
    <row r="15" spans="1:12" ht="21" customHeight="1" thickBot="1" x14ac:dyDescent="0.25">
      <c r="A15" s="92" t="s">
        <v>13</v>
      </c>
      <c r="B15" s="541">
        <f t="shared" ref="B15:K15" si="3">SUM(B8:B14)</f>
        <v>11196050</v>
      </c>
      <c r="C15" s="541">
        <f t="shared" si="3"/>
        <v>1506200</v>
      </c>
      <c r="D15" s="541">
        <f t="shared" si="3"/>
        <v>11673000</v>
      </c>
      <c r="E15" s="541">
        <f t="shared" si="3"/>
        <v>3030000</v>
      </c>
      <c r="F15" s="541">
        <f t="shared" si="3"/>
        <v>41324455</v>
      </c>
      <c r="G15" s="541">
        <f t="shared" si="3"/>
        <v>0</v>
      </c>
      <c r="H15" s="541">
        <f t="shared" si="3"/>
        <v>294900</v>
      </c>
      <c r="I15" s="541">
        <f t="shared" si="3"/>
        <v>0</v>
      </c>
      <c r="J15" s="541">
        <f t="shared" si="3"/>
        <v>0</v>
      </c>
      <c r="K15" s="541">
        <f t="shared" si="3"/>
        <v>0</v>
      </c>
      <c r="L15" s="137">
        <f>SUM(L8:L14)</f>
        <v>69024605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 xml:space="preserve">&amp;R13. sz. melléklet
........../2025. (VIII.28.) Egyek Önk.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pageSetUpPr fitToPage="1"/>
  </sheetPr>
  <dimension ref="A3:L34"/>
  <sheetViews>
    <sheetView view="pageLayout" topLeftCell="B1" zoomScaleNormal="100" workbookViewId="0">
      <selection activeCell="E23" sqref="E23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707"/>
      <c r="B3" s="708"/>
      <c r="C3" s="708"/>
      <c r="D3" s="708"/>
      <c r="E3" s="708"/>
      <c r="F3" s="708"/>
      <c r="G3" s="708"/>
      <c r="H3" s="708"/>
      <c r="I3" s="709"/>
    </row>
    <row r="5" spans="1:12" ht="12.75" customHeight="1" x14ac:dyDescent="0.2">
      <c r="A5" s="712" t="s">
        <v>317</v>
      </c>
      <c r="B5" s="712"/>
      <c r="C5" s="712"/>
      <c r="D5" s="712"/>
      <c r="E5" s="712"/>
      <c r="F5" s="712"/>
      <c r="G5" s="712"/>
      <c r="H5" s="712"/>
      <c r="I5" s="712"/>
      <c r="J5" s="712"/>
      <c r="K5" s="712"/>
      <c r="L5" s="712"/>
    </row>
    <row r="6" spans="1:12" ht="12.75" customHeight="1" x14ac:dyDescent="0.2">
      <c r="A6" s="712"/>
      <c r="B6" s="712"/>
      <c r="C6" s="712"/>
      <c r="D6" s="712"/>
      <c r="E6" s="712"/>
      <c r="F6" s="712"/>
      <c r="G6" s="712"/>
      <c r="H6" s="712"/>
      <c r="I6" s="712"/>
      <c r="J6" s="712"/>
      <c r="K6" s="712"/>
      <c r="L6" s="712"/>
    </row>
    <row r="7" spans="1:12" ht="13.5" thickBot="1" x14ac:dyDescent="0.25">
      <c r="I7" s="172"/>
    </row>
    <row r="8" spans="1:12" ht="102" customHeight="1" thickBot="1" x14ac:dyDescent="0.25">
      <c r="A8" s="710" t="s">
        <v>96</v>
      </c>
      <c r="B8" s="326" t="s">
        <v>111</v>
      </c>
      <c r="C8" s="170" t="s">
        <v>122</v>
      </c>
      <c r="D8" s="170" t="s">
        <v>113</v>
      </c>
      <c r="E8" s="170" t="s">
        <v>123</v>
      </c>
      <c r="F8" s="170" t="s">
        <v>119</v>
      </c>
      <c r="G8" s="170" t="s">
        <v>124</v>
      </c>
      <c r="H8" s="170" t="s">
        <v>115</v>
      </c>
      <c r="I8" s="170" t="s">
        <v>116</v>
      </c>
      <c r="J8" s="170" t="s">
        <v>117</v>
      </c>
      <c r="K8" s="170" t="s">
        <v>125</v>
      </c>
      <c r="L8" s="171" t="s">
        <v>24</v>
      </c>
    </row>
    <row r="9" spans="1:12" ht="21" customHeight="1" thickBot="1" x14ac:dyDescent="0.25">
      <c r="A9" s="711"/>
      <c r="B9" s="524" t="s">
        <v>316</v>
      </c>
      <c r="C9" s="524" t="s">
        <v>316</v>
      </c>
      <c r="D9" s="524" t="s">
        <v>316</v>
      </c>
      <c r="E9" s="524" t="s">
        <v>316</v>
      </c>
      <c r="F9" s="524" t="s">
        <v>316</v>
      </c>
      <c r="G9" s="524" t="s">
        <v>316</v>
      </c>
      <c r="H9" s="524" t="s">
        <v>316</v>
      </c>
      <c r="I9" s="524" t="s">
        <v>316</v>
      </c>
      <c r="J9" s="524" t="s">
        <v>316</v>
      </c>
      <c r="K9" s="524" t="s">
        <v>316</v>
      </c>
      <c r="L9" s="132" t="s">
        <v>316</v>
      </c>
    </row>
    <row r="10" spans="1:12" ht="40.5" customHeight="1" x14ac:dyDescent="0.2">
      <c r="A10" s="555" t="s">
        <v>104</v>
      </c>
      <c r="B10" s="518">
        <v>166724970</v>
      </c>
      <c r="C10" s="519">
        <v>21613629</v>
      </c>
      <c r="D10" s="557">
        <v>21552400</v>
      </c>
      <c r="E10" s="519"/>
      <c r="F10" s="558"/>
      <c r="G10" s="558"/>
      <c r="H10" s="558">
        <v>4018600</v>
      </c>
      <c r="I10" s="559"/>
      <c r="J10" s="560"/>
      <c r="K10" s="561"/>
      <c r="L10" s="551">
        <f>SUM(B10:K10)</f>
        <v>213909599</v>
      </c>
    </row>
    <row r="11" spans="1:12" ht="40.5" customHeight="1" thickBot="1" x14ac:dyDescent="0.25">
      <c r="A11" s="556" t="s">
        <v>105</v>
      </c>
      <c r="B11" s="373">
        <v>16281803</v>
      </c>
      <c r="C11" s="165">
        <v>2294480</v>
      </c>
      <c r="D11" s="542"/>
      <c r="E11" s="165"/>
      <c r="F11" s="553"/>
      <c r="G11" s="553"/>
      <c r="H11" s="553">
        <v>0</v>
      </c>
      <c r="I11" s="166"/>
      <c r="J11" s="554"/>
      <c r="K11" s="562"/>
      <c r="L11" s="551">
        <f>SUM(B11:K11)</f>
        <v>18576283</v>
      </c>
    </row>
    <row r="12" spans="1:12" s="67" customFormat="1" ht="21" customHeight="1" thickBot="1" x14ac:dyDescent="0.25">
      <c r="A12" s="92" t="s">
        <v>13</v>
      </c>
      <c r="B12" s="552">
        <f t="shared" ref="B12:L12" si="0">SUM(B10:B11)</f>
        <v>183006773</v>
      </c>
      <c r="C12" s="552">
        <f t="shared" si="0"/>
        <v>23908109</v>
      </c>
      <c r="D12" s="552">
        <f t="shared" si="0"/>
        <v>21552400</v>
      </c>
      <c r="E12" s="552">
        <f t="shared" si="0"/>
        <v>0</v>
      </c>
      <c r="F12" s="552">
        <f t="shared" si="0"/>
        <v>0</v>
      </c>
      <c r="G12" s="552">
        <f t="shared" si="0"/>
        <v>0</v>
      </c>
      <c r="H12" s="552">
        <f t="shared" si="0"/>
        <v>4018600</v>
      </c>
      <c r="I12" s="552">
        <f t="shared" si="0"/>
        <v>0</v>
      </c>
      <c r="J12" s="552">
        <f t="shared" si="0"/>
        <v>0</v>
      </c>
      <c r="K12" s="552">
        <f t="shared" si="0"/>
        <v>0</v>
      </c>
      <c r="L12" s="445">
        <f t="shared" si="0"/>
        <v>232485882</v>
      </c>
    </row>
    <row r="14" spans="1:12" x14ac:dyDescent="0.2">
      <c r="I14" s="2"/>
    </row>
    <row r="16" spans="1:12" x14ac:dyDescent="0.2">
      <c r="A16" s="28"/>
      <c r="B16" s="29"/>
      <c r="C16" s="29"/>
      <c r="D16" s="29" t="s">
        <v>68</v>
      </c>
      <c r="E16" s="29"/>
      <c r="F16" s="30"/>
      <c r="G16" s="30"/>
      <c r="H16" s="30"/>
    </row>
    <row r="17" spans="1:8" x14ac:dyDescent="0.2">
      <c r="A17" s="31"/>
      <c r="B17" s="32"/>
      <c r="C17" s="32"/>
      <c r="D17" s="32"/>
      <c r="E17" s="32"/>
      <c r="F17" s="32"/>
      <c r="G17" s="32"/>
      <c r="H17" s="32"/>
    </row>
    <row r="18" spans="1:8" x14ac:dyDescent="0.2">
      <c r="A18" s="33"/>
      <c r="B18" s="84"/>
      <c r="C18" s="84"/>
      <c r="D18" s="84"/>
      <c r="E18" s="84"/>
      <c r="F18" s="14"/>
      <c r="G18" s="14"/>
      <c r="H18" s="14"/>
    </row>
    <row r="19" spans="1:8" x14ac:dyDescent="0.2">
      <c r="A19" s="33"/>
      <c r="B19" s="84"/>
      <c r="C19" s="84"/>
      <c r="D19" s="85"/>
      <c r="E19" s="84"/>
      <c r="F19" s="14"/>
      <c r="G19" s="14"/>
      <c r="H19" s="14"/>
    </row>
    <row r="20" spans="1:8" x14ac:dyDescent="0.2">
      <c r="A20" s="33"/>
      <c r="B20" s="84"/>
      <c r="C20" s="84"/>
      <c r="D20" s="84"/>
      <c r="E20" s="84"/>
      <c r="F20" s="14"/>
      <c r="G20" s="14"/>
      <c r="H20" s="14"/>
    </row>
    <row r="21" spans="1:8" x14ac:dyDescent="0.2">
      <c r="A21" s="33"/>
      <c r="B21" s="84"/>
      <c r="C21" s="84"/>
      <c r="D21" s="84"/>
      <c r="E21" s="84"/>
      <c r="F21" s="14"/>
      <c r="G21" s="14"/>
      <c r="H21" s="14"/>
    </row>
    <row r="22" spans="1:8" x14ac:dyDescent="0.2">
      <c r="A22" s="33"/>
      <c r="B22" s="84"/>
      <c r="C22" s="84"/>
      <c r="D22" s="84"/>
      <c r="E22" s="84"/>
      <c r="F22" s="14"/>
      <c r="G22" s="14"/>
      <c r="H22" s="14"/>
    </row>
    <row r="23" spans="1:8" x14ac:dyDescent="0.2">
      <c r="A23" s="33"/>
      <c r="B23" s="84"/>
      <c r="C23" s="84"/>
      <c r="D23" s="84"/>
      <c r="E23" s="84"/>
      <c r="F23" s="14"/>
      <c r="G23" s="14"/>
      <c r="H23" s="14"/>
    </row>
    <row r="24" spans="1:8" x14ac:dyDescent="0.2">
      <c r="A24" s="33"/>
      <c r="B24" s="84"/>
      <c r="C24" s="84"/>
      <c r="D24" s="84"/>
      <c r="E24" s="84"/>
      <c r="F24" s="14"/>
      <c r="G24" s="14"/>
      <c r="H24" s="14"/>
    </row>
    <row r="25" spans="1:8" x14ac:dyDescent="0.2">
      <c r="A25" s="33"/>
      <c r="B25" s="84"/>
      <c r="C25" s="84"/>
      <c r="D25" s="84"/>
      <c r="E25" s="84"/>
      <c r="F25" s="14"/>
      <c r="G25" s="14"/>
      <c r="H25" s="14"/>
    </row>
    <row r="26" spans="1:8" x14ac:dyDescent="0.2">
      <c r="A26" s="33"/>
      <c r="B26" s="84"/>
      <c r="C26" s="84"/>
      <c r="D26" s="84"/>
      <c r="E26" s="84"/>
      <c r="F26" s="14"/>
      <c r="G26" s="14"/>
      <c r="H26" s="14"/>
    </row>
    <row r="27" spans="1:8" x14ac:dyDescent="0.2">
      <c r="A27" s="33"/>
      <c r="B27" s="84"/>
      <c r="C27" s="84"/>
      <c r="D27" s="84"/>
      <c r="E27" s="84"/>
      <c r="F27" s="14"/>
      <c r="G27" s="14"/>
      <c r="H27" s="14"/>
    </row>
    <row r="28" spans="1:8" x14ac:dyDescent="0.2">
      <c r="A28" s="33"/>
      <c r="B28" s="84"/>
      <c r="C28" s="84"/>
      <c r="D28" s="84"/>
      <c r="E28" s="84"/>
      <c r="F28" s="14"/>
      <c r="G28" s="14"/>
      <c r="H28" s="14"/>
    </row>
    <row r="29" spans="1:8" x14ac:dyDescent="0.2">
      <c r="A29" s="33"/>
      <c r="B29" s="84"/>
      <c r="C29" s="84"/>
      <c r="D29" s="84"/>
      <c r="E29" s="84"/>
      <c r="F29" s="14"/>
      <c r="G29" s="14"/>
      <c r="H29" s="14"/>
    </row>
    <row r="30" spans="1:8" x14ac:dyDescent="0.2">
      <c r="A30" s="33"/>
      <c r="B30" s="84"/>
      <c r="C30" s="84"/>
      <c r="D30" s="84"/>
      <c r="E30" s="84"/>
      <c r="F30" s="14"/>
      <c r="G30" s="14"/>
      <c r="H30" s="14"/>
    </row>
    <row r="31" spans="1:8" x14ac:dyDescent="0.2">
      <c r="A31" s="33"/>
      <c r="B31" s="84"/>
      <c r="C31" s="84"/>
      <c r="D31" s="84"/>
      <c r="E31" s="84"/>
      <c r="F31" s="14"/>
      <c r="G31" s="14"/>
      <c r="H31" s="14"/>
    </row>
    <row r="32" spans="1:8" x14ac:dyDescent="0.2">
      <c r="A32" s="31"/>
      <c r="B32" s="86"/>
      <c r="C32" s="86"/>
      <c r="D32" s="86"/>
      <c r="E32" s="86"/>
      <c r="F32" s="14"/>
      <c r="G32" s="14"/>
      <c r="H32" s="14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&amp;R14. sz. melléklet
......../2025.(VIII.28.)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32"/>
  <sheetViews>
    <sheetView view="pageLayout" topLeftCell="B1" zoomScaleNormal="100" workbookViewId="0">
      <selection activeCell="F17" sqref="F17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1.7109375" customWidth="1"/>
    <col min="12" max="12" width="16.5703125" customWidth="1"/>
  </cols>
  <sheetData>
    <row r="3" spans="1:12" ht="15.75" x14ac:dyDescent="0.25">
      <c r="A3" s="707"/>
      <c r="B3" s="708"/>
      <c r="C3" s="708"/>
      <c r="D3" s="708"/>
      <c r="E3" s="708"/>
      <c r="F3" s="708"/>
      <c r="G3" s="708"/>
      <c r="H3" s="708"/>
      <c r="I3" s="709"/>
    </row>
    <row r="5" spans="1:12" ht="12.75" customHeight="1" x14ac:dyDescent="0.2">
      <c r="A5" s="712" t="s">
        <v>318</v>
      </c>
      <c r="B5" s="712"/>
      <c r="C5" s="712"/>
      <c r="D5" s="712"/>
      <c r="E5" s="712"/>
      <c r="F5" s="712"/>
      <c r="G5" s="712"/>
      <c r="H5" s="712"/>
      <c r="I5" s="712"/>
      <c r="J5" s="712"/>
      <c r="K5" s="712"/>
      <c r="L5" s="712"/>
    </row>
    <row r="6" spans="1:12" ht="12.75" customHeight="1" x14ac:dyDescent="0.2">
      <c r="A6" s="712"/>
      <c r="B6" s="712"/>
      <c r="C6" s="712"/>
      <c r="D6" s="712"/>
      <c r="E6" s="712"/>
      <c r="F6" s="712"/>
      <c r="G6" s="712"/>
      <c r="H6" s="712"/>
      <c r="I6" s="712"/>
      <c r="J6" s="712"/>
      <c r="K6" s="712"/>
      <c r="L6" s="712"/>
    </row>
    <row r="7" spans="1:12" ht="13.5" thickBot="1" x14ac:dyDescent="0.25">
      <c r="I7" s="172"/>
    </row>
    <row r="8" spans="1:12" ht="102" customHeight="1" thickBot="1" x14ac:dyDescent="0.25">
      <c r="A8" s="710" t="s">
        <v>96</v>
      </c>
      <c r="B8" s="326" t="s">
        <v>111</v>
      </c>
      <c r="C8" s="170" t="s">
        <v>122</v>
      </c>
      <c r="D8" s="170" t="s">
        <v>113</v>
      </c>
      <c r="E8" s="170" t="s">
        <v>123</v>
      </c>
      <c r="F8" s="170" t="s">
        <v>119</v>
      </c>
      <c r="G8" s="170" t="s">
        <v>124</v>
      </c>
      <c r="H8" s="170" t="s">
        <v>115</v>
      </c>
      <c r="I8" s="170" t="s">
        <v>116</v>
      </c>
      <c r="J8" s="170" t="s">
        <v>117</v>
      </c>
      <c r="K8" s="170" t="s">
        <v>125</v>
      </c>
      <c r="L8" s="171" t="s">
        <v>24</v>
      </c>
    </row>
    <row r="9" spans="1:12" ht="21" customHeight="1" thickBot="1" x14ac:dyDescent="0.25">
      <c r="A9" s="711"/>
      <c r="B9" s="524" t="s">
        <v>316</v>
      </c>
      <c r="C9" s="524" t="s">
        <v>316</v>
      </c>
      <c r="D9" s="524" t="s">
        <v>316</v>
      </c>
      <c r="E9" s="524" t="s">
        <v>316</v>
      </c>
      <c r="F9" s="524" t="s">
        <v>316</v>
      </c>
      <c r="G9" s="524" t="s">
        <v>316</v>
      </c>
      <c r="H9" s="524" t="s">
        <v>316</v>
      </c>
      <c r="I9" s="524" t="s">
        <v>316</v>
      </c>
      <c r="J9" s="524" t="s">
        <v>316</v>
      </c>
      <c r="K9" s="524" t="s">
        <v>316</v>
      </c>
      <c r="L9" s="132" t="s">
        <v>316</v>
      </c>
    </row>
    <row r="10" spans="1:12" ht="40.5" customHeight="1" x14ac:dyDescent="0.2">
      <c r="A10" s="555" t="s">
        <v>104</v>
      </c>
      <c r="B10" s="518">
        <v>166724970</v>
      </c>
      <c r="C10" s="519">
        <v>21613629</v>
      </c>
      <c r="D10" s="557">
        <v>21552400</v>
      </c>
      <c r="E10" s="519"/>
      <c r="F10" s="558"/>
      <c r="G10" s="558"/>
      <c r="H10" s="558">
        <v>4018600</v>
      </c>
      <c r="I10" s="559"/>
      <c r="J10" s="560"/>
      <c r="K10" s="561"/>
      <c r="L10" s="551">
        <f>SUM(B10:K10)</f>
        <v>213909599</v>
      </c>
    </row>
    <row r="11" spans="1:12" ht="40.5" customHeight="1" thickBot="1" x14ac:dyDescent="0.25">
      <c r="A11" s="556" t="s">
        <v>105</v>
      </c>
      <c r="B11" s="373">
        <v>16281803</v>
      </c>
      <c r="C11" s="165">
        <v>2294480</v>
      </c>
      <c r="D11" s="542"/>
      <c r="E11" s="165"/>
      <c r="F11" s="553"/>
      <c r="G11" s="553"/>
      <c r="H11" s="553">
        <v>0</v>
      </c>
      <c r="I11" s="166"/>
      <c r="J11" s="554"/>
      <c r="K11" s="562"/>
      <c r="L11" s="551">
        <f>SUM(B11:K11)</f>
        <v>18576283</v>
      </c>
    </row>
    <row r="12" spans="1:12" s="67" customFormat="1" ht="21" customHeight="1" thickBot="1" x14ac:dyDescent="0.25">
      <c r="A12" s="92" t="s">
        <v>13</v>
      </c>
      <c r="B12" s="552">
        <f t="shared" ref="B12:L12" si="0">SUM(B10:B11)</f>
        <v>183006773</v>
      </c>
      <c r="C12" s="552">
        <f t="shared" si="0"/>
        <v>23908109</v>
      </c>
      <c r="D12" s="552">
        <f t="shared" si="0"/>
        <v>21552400</v>
      </c>
      <c r="E12" s="552">
        <f t="shared" si="0"/>
        <v>0</v>
      </c>
      <c r="F12" s="552">
        <f t="shared" si="0"/>
        <v>0</v>
      </c>
      <c r="G12" s="552">
        <f t="shared" si="0"/>
        <v>0</v>
      </c>
      <c r="H12" s="552">
        <f t="shared" si="0"/>
        <v>4018600</v>
      </c>
      <c r="I12" s="552">
        <f t="shared" si="0"/>
        <v>0</v>
      </c>
      <c r="J12" s="552">
        <f t="shared" si="0"/>
        <v>0</v>
      </c>
      <c r="K12" s="552">
        <f t="shared" si="0"/>
        <v>0</v>
      </c>
      <c r="L12" s="445">
        <f t="shared" si="0"/>
        <v>232485882</v>
      </c>
    </row>
    <row r="13" spans="1:12" x14ac:dyDescent="0.2">
      <c r="B13" s="89"/>
    </row>
    <row r="14" spans="1:12" x14ac:dyDescent="0.2">
      <c r="A14" s="28"/>
      <c r="B14" s="29"/>
      <c r="C14" s="29"/>
      <c r="D14" s="29" t="s">
        <v>68</v>
      </c>
      <c r="E14" s="29"/>
      <c r="F14" s="30"/>
      <c r="G14" s="30"/>
      <c r="H14" s="30"/>
    </row>
    <row r="15" spans="1:12" x14ac:dyDescent="0.2">
      <c r="A15" s="31"/>
      <c r="B15" s="32"/>
      <c r="C15" s="32"/>
      <c r="D15" s="32"/>
      <c r="E15" s="32"/>
      <c r="F15" s="32"/>
      <c r="G15" s="32"/>
      <c r="H15" s="32"/>
    </row>
    <row r="16" spans="1:12" x14ac:dyDescent="0.2">
      <c r="A16" s="33"/>
      <c r="B16" s="84"/>
      <c r="C16" s="84"/>
      <c r="D16" s="84"/>
      <c r="E16" s="84"/>
      <c r="F16" s="14"/>
      <c r="G16" s="14"/>
      <c r="H16" s="14"/>
    </row>
    <row r="17" spans="1:8" x14ac:dyDescent="0.2">
      <c r="A17" s="33"/>
      <c r="B17" s="84"/>
      <c r="C17" s="84"/>
      <c r="D17" s="85"/>
      <c r="E17" s="84"/>
      <c r="F17" s="14"/>
      <c r="G17" s="14"/>
      <c r="H17" s="14"/>
    </row>
    <row r="18" spans="1:8" x14ac:dyDescent="0.2">
      <c r="A18" s="33"/>
      <c r="B18" s="84"/>
      <c r="C18" s="84"/>
      <c r="D18" s="84"/>
      <c r="E18" s="84"/>
      <c r="F18" s="14"/>
      <c r="G18" s="14"/>
      <c r="H18" s="14"/>
    </row>
    <row r="19" spans="1:8" x14ac:dyDescent="0.2">
      <c r="A19" s="33"/>
      <c r="B19" s="84"/>
      <c r="C19" s="84"/>
      <c r="D19" s="84"/>
      <c r="E19" s="84"/>
      <c r="F19" s="14"/>
      <c r="G19" s="14"/>
      <c r="H19" s="14"/>
    </row>
    <row r="20" spans="1:8" x14ac:dyDescent="0.2">
      <c r="A20" s="33"/>
      <c r="B20" s="84"/>
      <c r="C20" s="84"/>
      <c r="D20" s="84"/>
      <c r="E20" s="84"/>
      <c r="F20" s="14"/>
      <c r="G20" s="14"/>
      <c r="H20" s="14"/>
    </row>
    <row r="21" spans="1:8" x14ac:dyDescent="0.2">
      <c r="A21" s="33"/>
      <c r="B21" s="84"/>
      <c r="C21" s="84"/>
      <c r="D21" s="84"/>
      <c r="E21" s="84"/>
      <c r="F21" s="14"/>
      <c r="G21" s="14"/>
      <c r="H21" s="14"/>
    </row>
    <row r="22" spans="1:8" x14ac:dyDescent="0.2">
      <c r="A22" s="33"/>
      <c r="B22" s="84"/>
      <c r="C22" s="84"/>
      <c r="D22" s="84"/>
      <c r="E22" s="84"/>
      <c r="F22" s="14"/>
      <c r="G22" s="14"/>
      <c r="H22" s="14"/>
    </row>
    <row r="23" spans="1:8" x14ac:dyDescent="0.2">
      <c r="A23" s="33"/>
      <c r="B23" s="84"/>
      <c r="C23" s="84"/>
      <c r="D23" s="84"/>
      <c r="E23" s="84"/>
      <c r="F23" s="14"/>
      <c r="G23" s="14"/>
      <c r="H23" s="14"/>
    </row>
    <row r="24" spans="1:8" x14ac:dyDescent="0.2">
      <c r="A24" s="33"/>
      <c r="B24" s="84"/>
      <c r="C24" s="84"/>
      <c r="D24" s="84"/>
      <c r="E24" s="84"/>
      <c r="F24" s="14"/>
      <c r="G24" s="14"/>
      <c r="H24" s="14"/>
    </row>
    <row r="25" spans="1:8" x14ac:dyDescent="0.2">
      <c r="A25" s="33"/>
      <c r="B25" s="84"/>
      <c r="C25" s="84"/>
      <c r="D25" s="84"/>
      <c r="E25" s="84"/>
      <c r="F25" s="14"/>
      <c r="G25" s="14"/>
      <c r="H25" s="14"/>
    </row>
    <row r="26" spans="1:8" x14ac:dyDescent="0.2">
      <c r="A26" s="33"/>
      <c r="B26" s="84"/>
      <c r="C26" s="84"/>
      <c r="D26" s="84"/>
      <c r="E26" s="84"/>
      <c r="F26" s="14"/>
      <c r="G26" s="14"/>
      <c r="H26" s="14"/>
    </row>
    <row r="27" spans="1:8" x14ac:dyDescent="0.2">
      <c r="A27" s="33"/>
      <c r="B27" s="84"/>
      <c r="C27" s="84"/>
      <c r="D27" s="84"/>
      <c r="E27" s="84"/>
      <c r="F27" s="14"/>
      <c r="G27" s="14"/>
      <c r="H27" s="14"/>
    </row>
    <row r="28" spans="1:8" x14ac:dyDescent="0.2">
      <c r="A28" s="33"/>
      <c r="B28" s="84"/>
      <c r="C28" s="84"/>
      <c r="D28" s="84"/>
      <c r="E28" s="84"/>
      <c r="F28" s="14"/>
      <c r="G28" s="14"/>
      <c r="H28" s="14"/>
    </row>
    <row r="29" spans="1:8" x14ac:dyDescent="0.2">
      <c r="A29" s="33"/>
      <c r="B29" s="84"/>
      <c r="C29" s="84"/>
      <c r="D29" s="84"/>
      <c r="E29" s="84"/>
      <c r="F29" s="14"/>
      <c r="G29" s="14"/>
      <c r="H29" s="14"/>
    </row>
    <row r="30" spans="1:8" x14ac:dyDescent="0.2">
      <c r="A30" s="31"/>
      <c r="B30" s="86"/>
      <c r="C30" s="86"/>
      <c r="D30" s="86"/>
      <c r="E30" s="86"/>
      <c r="F30" s="14"/>
      <c r="G30" s="14"/>
      <c r="H30" s="14"/>
    </row>
    <row r="31" spans="1:8" x14ac:dyDescent="0.2">
      <c r="B31" s="1"/>
      <c r="C31" s="1"/>
      <c r="D31" s="1"/>
      <c r="E31" s="1"/>
      <c r="F31" s="1"/>
      <c r="G31" s="1"/>
      <c r="H31" s="1"/>
    </row>
    <row r="32" spans="1:8" x14ac:dyDescent="0.2">
      <c r="B32" s="1"/>
      <c r="C32" s="1"/>
      <c r="D32" s="1"/>
      <c r="E32" s="1"/>
      <c r="F32" s="1"/>
      <c r="G32" s="1"/>
      <c r="H32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>
    <oddHeader>&amp;R15. sz. melléklet
......../2025.(VIII.28.)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pageSetUpPr fitToPage="1"/>
  </sheetPr>
  <dimension ref="A1:L10"/>
  <sheetViews>
    <sheetView view="pageLayout" zoomScaleNormal="100" workbookViewId="0">
      <selection activeCell="F15" sqref="F15"/>
    </sheetView>
  </sheetViews>
  <sheetFormatPr defaultRowHeight="12.75" x14ac:dyDescent="0.2"/>
  <cols>
    <col min="1" max="1" width="56.7109375" customWidth="1"/>
    <col min="2" max="2" width="15.28515625" customWidth="1"/>
    <col min="3" max="4" width="15.14062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4.140625" customWidth="1"/>
  </cols>
  <sheetData>
    <row r="1" spans="1:12" ht="15.75" customHeight="1" x14ac:dyDescent="0.2">
      <c r="A1" s="715" t="s">
        <v>319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</row>
    <row r="2" spans="1:12" ht="12.75" customHeight="1" x14ac:dyDescent="0.2">
      <c r="A2" s="715"/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270" customFormat="1" ht="102" customHeight="1" thickBot="1" x14ac:dyDescent="0.25">
      <c r="A6" s="713" t="s">
        <v>96</v>
      </c>
      <c r="B6" s="280" t="s">
        <v>111</v>
      </c>
      <c r="C6" s="280" t="s">
        <v>122</v>
      </c>
      <c r="D6" s="280" t="s">
        <v>113</v>
      </c>
      <c r="E6" s="280" t="s">
        <v>123</v>
      </c>
      <c r="F6" s="280" t="s">
        <v>119</v>
      </c>
      <c r="G6" s="280" t="s">
        <v>124</v>
      </c>
      <c r="H6" s="280" t="s">
        <v>115</v>
      </c>
      <c r="I6" s="280" t="s">
        <v>116</v>
      </c>
      <c r="J6" s="280" t="s">
        <v>117</v>
      </c>
      <c r="K6" s="280" t="s">
        <v>125</v>
      </c>
      <c r="L6" s="281" t="s">
        <v>24</v>
      </c>
    </row>
    <row r="7" spans="1:12" s="270" customFormat="1" ht="21" customHeight="1" thickBot="1" x14ac:dyDescent="0.25">
      <c r="A7" s="714"/>
      <c r="B7" s="132" t="s">
        <v>316</v>
      </c>
      <c r="C7" s="132" t="s">
        <v>316</v>
      </c>
      <c r="D7" s="132" t="s">
        <v>316</v>
      </c>
      <c r="E7" s="132" t="s">
        <v>316</v>
      </c>
      <c r="F7" s="132" t="s">
        <v>316</v>
      </c>
      <c r="G7" s="132" t="s">
        <v>316</v>
      </c>
      <c r="H7" s="132" t="s">
        <v>316</v>
      </c>
      <c r="I7" s="132" t="s">
        <v>316</v>
      </c>
      <c r="J7" s="132" t="s">
        <v>316</v>
      </c>
      <c r="K7" s="132" t="s">
        <v>316</v>
      </c>
      <c r="L7" s="132" t="s">
        <v>316</v>
      </c>
    </row>
    <row r="8" spans="1:12" s="270" customFormat="1" x14ac:dyDescent="0.2">
      <c r="A8" s="282" t="s">
        <v>106</v>
      </c>
      <c r="B8" s="165">
        <v>4369100</v>
      </c>
      <c r="C8" s="165">
        <v>566784</v>
      </c>
      <c r="D8" s="165">
        <v>5533274</v>
      </c>
      <c r="E8" s="288"/>
      <c r="F8" s="289"/>
      <c r="G8" s="289"/>
      <c r="H8" s="215"/>
      <c r="I8" s="251"/>
      <c r="J8" s="251"/>
      <c r="K8" s="251"/>
      <c r="L8" s="283">
        <f>SUM(B8:K8)</f>
        <v>10469158</v>
      </c>
    </row>
    <row r="9" spans="1:12" s="270" customFormat="1" ht="25.5" x14ac:dyDescent="0.2">
      <c r="A9" s="284" t="s">
        <v>107</v>
      </c>
      <c r="B9" s="165">
        <v>7303100</v>
      </c>
      <c r="C9" s="165">
        <v>969216</v>
      </c>
      <c r="D9" s="165">
        <v>3378105</v>
      </c>
      <c r="E9" s="165"/>
      <c r="F9" s="165"/>
      <c r="G9" s="165"/>
      <c r="H9" s="215">
        <v>150000</v>
      </c>
      <c r="I9" s="251"/>
      <c r="J9" s="251"/>
      <c r="K9" s="251"/>
      <c r="L9" s="283">
        <f>SUM(B9:K9)</f>
        <v>11800421</v>
      </c>
    </row>
    <row r="10" spans="1:12" s="287" customFormat="1" ht="24" customHeight="1" thickBot="1" x14ac:dyDescent="0.25">
      <c r="A10" s="285" t="s">
        <v>62</v>
      </c>
      <c r="B10" s="286">
        <f t="shared" ref="B10:L10" si="0">SUM(B8:B9)</f>
        <v>11672200</v>
      </c>
      <c r="C10" s="286">
        <f t="shared" si="0"/>
        <v>1536000</v>
      </c>
      <c r="D10" s="286">
        <f t="shared" si="0"/>
        <v>8911379</v>
      </c>
      <c r="E10" s="286">
        <f t="shared" si="0"/>
        <v>0</v>
      </c>
      <c r="F10" s="286">
        <f t="shared" si="0"/>
        <v>0</v>
      </c>
      <c r="G10" s="286">
        <f t="shared" si="0"/>
        <v>0</v>
      </c>
      <c r="H10" s="286">
        <f t="shared" si="0"/>
        <v>150000</v>
      </c>
      <c r="I10" s="286">
        <f t="shared" si="0"/>
        <v>0</v>
      </c>
      <c r="J10" s="286">
        <f t="shared" si="0"/>
        <v>0</v>
      </c>
      <c r="K10" s="286">
        <f t="shared" si="0"/>
        <v>0</v>
      </c>
      <c r="L10" s="286">
        <f t="shared" si="0"/>
        <v>22269579</v>
      </c>
    </row>
  </sheetData>
  <mergeCells count="2">
    <mergeCell ref="A6:A7"/>
    <mergeCell ref="A1:L2"/>
  </mergeCells>
  <phoneticPr fontId="34" type="noConversion"/>
  <pageMargins left="0.75" right="0.75" top="1" bottom="1" header="0.5" footer="0.5"/>
  <pageSetup paperSize="9" scale="59" orientation="landscape" r:id="rId1"/>
  <headerFooter alignWithMargins="0">
    <oddHeader>&amp;R16. sz. melléklet
...../2025.(VIII.28.)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Layout" topLeftCell="B1" zoomScaleNormal="100" workbookViewId="0">
      <selection sqref="A1:L2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6.140625" customWidth="1"/>
    <col min="5" max="5" width="19.7109375" customWidth="1"/>
    <col min="6" max="6" width="14.42578125" customWidth="1"/>
    <col min="7" max="7" width="14.5703125" customWidth="1"/>
    <col min="8" max="8" width="13.42578125" customWidth="1"/>
    <col min="9" max="9" width="15" customWidth="1"/>
    <col min="10" max="10" width="10.28515625" customWidth="1"/>
    <col min="11" max="11" width="10.85546875" customWidth="1"/>
    <col min="12" max="12" width="14.140625" customWidth="1"/>
  </cols>
  <sheetData>
    <row r="1" spans="1:12" ht="15.75" customHeight="1" x14ac:dyDescent="0.2">
      <c r="A1" s="715" t="s">
        <v>320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</row>
    <row r="2" spans="1:12" ht="12.75" customHeight="1" x14ac:dyDescent="0.2">
      <c r="A2" s="715"/>
      <c r="B2" s="715"/>
      <c r="C2" s="715"/>
      <c r="D2" s="715"/>
      <c r="E2" s="715"/>
      <c r="F2" s="715"/>
      <c r="G2" s="715"/>
      <c r="H2" s="715"/>
      <c r="I2" s="715"/>
      <c r="J2" s="715"/>
      <c r="K2" s="715"/>
      <c r="L2" s="715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270" customFormat="1" ht="102" customHeight="1" thickBot="1" x14ac:dyDescent="0.25">
      <c r="A6" s="713" t="s">
        <v>96</v>
      </c>
      <c r="B6" s="280" t="s">
        <v>111</v>
      </c>
      <c r="C6" s="280" t="s">
        <v>122</v>
      </c>
      <c r="D6" s="280" t="s">
        <v>113</v>
      </c>
      <c r="E6" s="280" t="s">
        <v>123</v>
      </c>
      <c r="F6" s="280" t="s">
        <v>119</v>
      </c>
      <c r="G6" s="280" t="s">
        <v>124</v>
      </c>
      <c r="H6" s="280" t="s">
        <v>115</v>
      </c>
      <c r="I6" s="280" t="s">
        <v>116</v>
      </c>
      <c r="J6" s="280" t="s">
        <v>117</v>
      </c>
      <c r="K6" s="280" t="s">
        <v>125</v>
      </c>
      <c r="L6" s="281" t="s">
        <v>24</v>
      </c>
    </row>
    <row r="7" spans="1:12" s="270" customFormat="1" ht="21" customHeight="1" thickBot="1" x14ac:dyDescent="0.25">
      <c r="A7" s="714"/>
      <c r="B7" s="132" t="s">
        <v>316</v>
      </c>
      <c r="C7" s="132" t="s">
        <v>316</v>
      </c>
      <c r="D7" s="132" t="s">
        <v>316</v>
      </c>
      <c r="E7" s="132" t="s">
        <v>316</v>
      </c>
      <c r="F7" s="132" t="s">
        <v>316</v>
      </c>
      <c r="G7" s="132" t="s">
        <v>316</v>
      </c>
      <c r="H7" s="132" t="s">
        <v>316</v>
      </c>
      <c r="I7" s="132" t="s">
        <v>316</v>
      </c>
      <c r="J7" s="132" t="s">
        <v>316</v>
      </c>
      <c r="K7" s="132" t="s">
        <v>316</v>
      </c>
      <c r="L7" s="132" t="s">
        <v>316</v>
      </c>
    </row>
    <row r="8" spans="1:12" s="270" customFormat="1" x14ac:dyDescent="0.2">
      <c r="A8" s="282" t="s">
        <v>106</v>
      </c>
      <c r="B8" s="165">
        <v>4369100</v>
      </c>
      <c r="C8" s="165">
        <v>566784</v>
      </c>
      <c r="D8" s="165">
        <v>5533274</v>
      </c>
      <c r="E8" s="288"/>
      <c r="F8" s="289"/>
      <c r="G8" s="289"/>
      <c r="H8" s="215"/>
      <c r="I8" s="251"/>
      <c r="J8" s="251"/>
      <c r="K8" s="251"/>
      <c r="L8" s="283">
        <f>SUM(B8:K8)</f>
        <v>10469158</v>
      </c>
    </row>
    <row r="9" spans="1:12" s="270" customFormat="1" ht="25.5" x14ac:dyDescent="0.2">
      <c r="A9" s="284" t="s">
        <v>107</v>
      </c>
      <c r="B9" s="165">
        <v>7303100</v>
      </c>
      <c r="C9" s="165">
        <v>969216</v>
      </c>
      <c r="D9" s="165">
        <v>3378105</v>
      </c>
      <c r="E9" s="165"/>
      <c r="F9" s="165"/>
      <c r="G9" s="165"/>
      <c r="H9" s="215">
        <v>150000</v>
      </c>
      <c r="I9" s="251"/>
      <c r="J9" s="251"/>
      <c r="K9" s="251"/>
      <c r="L9" s="283">
        <f>SUM(B9:K9)</f>
        <v>11800421</v>
      </c>
    </row>
    <row r="10" spans="1:12" s="287" customFormat="1" ht="24" customHeight="1" thickBot="1" x14ac:dyDescent="0.25">
      <c r="A10" s="285" t="s">
        <v>62</v>
      </c>
      <c r="B10" s="286">
        <f t="shared" ref="B10:L10" si="0">SUM(B8:B9)</f>
        <v>11672200</v>
      </c>
      <c r="C10" s="286">
        <f t="shared" si="0"/>
        <v>1536000</v>
      </c>
      <c r="D10" s="286">
        <f t="shared" si="0"/>
        <v>8911379</v>
      </c>
      <c r="E10" s="286">
        <f t="shared" si="0"/>
        <v>0</v>
      </c>
      <c r="F10" s="286">
        <f t="shared" si="0"/>
        <v>0</v>
      </c>
      <c r="G10" s="286">
        <f t="shared" si="0"/>
        <v>0</v>
      </c>
      <c r="H10" s="286">
        <f t="shared" si="0"/>
        <v>150000</v>
      </c>
      <c r="I10" s="286">
        <f t="shared" si="0"/>
        <v>0</v>
      </c>
      <c r="J10" s="286">
        <f t="shared" si="0"/>
        <v>0</v>
      </c>
      <c r="K10" s="286">
        <f t="shared" si="0"/>
        <v>0</v>
      </c>
      <c r="L10" s="286">
        <f t="shared" si="0"/>
        <v>22269579</v>
      </c>
    </row>
  </sheetData>
  <mergeCells count="2">
    <mergeCell ref="A6:A7"/>
    <mergeCell ref="A1:L2"/>
  </mergeCells>
  <pageMargins left="0.75" right="0.75" top="1" bottom="1" header="0.5" footer="0.5"/>
  <pageSetup paperSize="9" scale="61" orientation="landscape" r:id="rId1"/>
  <headerFooter alignWithMargins="0">
    <oddHeader>&amp;R17. sz. melléklet
...../2025.(VIII.28.)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pageSetUpPr fitToPage="1"/>
  </sheetPr>
  <dimension ref="A1:K40"/>
  <sheetViews>
    <sheetView view="pageLayout" topLeftCell="A2" zoomScaleNormal="120" workbookViewId="0">
      <selection activeCell="H6" sqref="H6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8" max="8" width="19.140625" style="331" bestFit="1" customWidth="1"/>
    <col min="10" max="10" width="19" style="331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700" t="s">
        <v>341</v>
      </c>
      <c r="C2" s="700"/>
      <c r="D2" s="700"/>
      <c r="E2" s="700"/>
      <c r="F2" s="700"/>
    </row>
    <row r="3" spans="2:10" ht="4.5" customHeight="1" thickBot="1" x14ac:dyDescent="0.25">
      <c r="B3" s="700"/>
      <c r="C3" s="700"/>
      <c r="D3" s="700"/>
      <c r="E3" s="700"/>
      <c r="F3" s="700"/>
    </row>
    <row r="4" spans="2:10" ht="3.75" hidden="1" customHeight="1" thickBot="1" x14ac:dyDescent="0.3">
      <c r="B4" s="19"/>
      <c r="C4" s="19"/>
      <c r="D4" s="19"/>
      <c r="E4" s="19"/>
      <c r="F4" s="23" t="s">
        <v>29</v>
      </c>
    </row>
    <row r="5" spans="2:10" ht="15.75" customHeight="1" x14ac:dyDescent="0.2">
      <c r="B5" s="716" t="s">
        <v>30</v>
      </c>
      <c r="C5" s="716" t="s">
        <v>214</v>
      </c>
      <c r="D5" s="718" t="s">
        <v>212</v>
      </c>
      <c r="E5" s="718" t="s">
        <v>213</v>
      </c>
      <c r="F5" s="721" t="s">
        <v>31</v>
      </c>
    </row>
    <row r="6" spans="2:10" ht="35.25" customHeight="1" thickBot="1" x14ac:dyDescent="0.25">
      <c r="B6" s="717"/>
      <c r="C6" s="717"/>
      <c r="D6" s="719"/>
      <c r="E6" s="720"/>
      <c r="F6" s="722"/>
    </row>
    <row r="7" spans="2:10" ht="15" customHeight="1" thickBot="1" x14ac:dyDescent="0.25">
      <c r="B7" s="24" t="s">
        <v>137</v>
      </c>
      <c r="C7" s="145">
        <f>C8+C10</f>
        <v>547152652</v>
      </c>
      <c r="D7" s="145">
        <f t="shared" ref="D7:E7" si="0">D8+D10</f>
        <v>183006773</v>
      </c>
      <c r="E7" s="145">
        <f t="shared" si="0"/>
        <v>11672200</v>
      </c>
      <c r="F7" s="147">
        <f t="shared" ref="F7:F32" si="1">SUM(C7:E7)</f>
        <v>741831625</v>
      </c>
    </row>
    <row r="8" spans="2:10" ht="15" customHeight="1" thickBot="1" x14ac:dyDescent="0.25">
      <c r="B8" s="25" t="s">
        <v>138</v>
      </c>
      <c r="C8" s="114">
        <v>493177622</v>
      </c>
      <c r="D8" s="127">
        <v>170492773</v>
      </c>
      <c r="E8" s="127">
        <v>10658200</v>
      </c>
      <c r="F8" s="147">
        <f t="shared" si="1"/>
        <v>674328595</v>
      </c>
    </row>
    <row r="9" spans="2:10" ht="15" customHeight="1" thickBot="1" x14ac:dyDescent="0.25">
      <c r="B9" s="25" t="s">
        <v>141</v>
      </c>
      <c r="C9" s="114">
        <f>'önkormányzat kiadásai 11. '!B12+'önkormányzat kiadásai 11. '!B13</f>
        <v>429062126</v>
      </c>
      <c r="D9" s="127"/>
      <c r="E9" s="127"/>
      <c r="F9" s="147">
        <f t="shared" si="1"/>
        <v>429062126</v>
      </c>
    </row>
    <row r="10" spans="2:10" ht="15" customHeight="1" thickBot="1" x14ac:dyDescent="0.25">
      <c r="B10" s="26" t="s">
        <v>139</v>
      </c>
      <c r="C10" s="115">
        <v>53975030</v>
      </c>
      <c r="D10" s="83">
        <v>12514000</v>
      </c>
      <c r="E10" s="83">
        <v>1014000</v>
      </c>
      <c r="F10" s="147">
        <f t="shared" si="1"/>
        <v>67503030</v>
      </c>
    </row>
    <row r="11" spans="2:10" ht="15" customHeight="1" thickBot="1" x14ac:dyDescent="0.25">
      <c r="B11" s="27" t="s">
        <v>169</v>
      </c>
      <c r="C11" s="116">
        <v>41062257</v>
      </c>
      <c r="D11" s="146"/>
      <c r="E11" s="146"/>
      <c r="F11" s="147">
        <f>SUM(C11:E11)</f>
        <v>41062257</v>
      </c>
    </row>
    <row r="12" spans="2:10" ht="29.25" customHeight="1" thickBot="1" x14ac:dyDescent="0.25">
      <c r="B12" s="112" t="s">
        <v>129</v>
      </c>
      <c r="C12" s="147">
        <f>'önkormányzat kiadásai 11. '!C35</f>
        <v>45310189</v>
      </c>
      <c r="D12" s="147">
        <f>'Polg.Hivatal kiadásai 14.'!C12</f>
        <v>23908109</v>
      </c>
      <c r="E12" s="145">
        <f>'Könyvtár és Műv.H. kiadásai 16.'!C10</f>
        <v>1536000</v>
      </c>
      <c r="F12" s="147">
        <f t="shared" si="1"/>
        <v>70754298</v>
      </c>
      <c r="H12" s="435"/>
    </row>
    <row r="13" spans="2:10" ht="15" customHeight="1" thickBot="1" x14ac:dyDescent="0.25">
      <c r="B13" s="82" t="s">
        <v>113</v>
      </c>
      <c r="C13" s="145">
        <f>'önkormányzat kiadásai 11. '!D35</f>
        <v>278147717</v>
      </c>
      <c r="D13" s="147">
        <f>'Polg.Hivatal kiadásai 14.'!D12</f>
        <v>21552400</v>
      </c>
      <c r="E13" s="145">
        <f>'Könyvtár és Műv.H. kiadásai 16.'!D10</f>
        <v>8911379</v>
      </c>
      <c r="F13" s="147">
        <f t="shared" si="1"/>
        <v>308611496</v>
      </c>
    </row>
    <row r="14" spans="2:10" ht="15" customHeight="1" thickBot="1" x14ac:dyDescent="0.25">
      <c r="B14" s="63" t="s">
        <v>114</v>
      </c>
      <c r="C14" s="213">
        <f>'önkormányzat kiadásai 11. '!E35</f>
        <v>19763000</v>
      </c>
      <c r="D14" s="148"/>
      <c r="E14" s="148"/>
      <c r="F14" s="147">
        <f>SUM(C14:E14)</f>
        <v>19763000</v>
      </c>
    </row>
    <row r="15" spans="2:10" s="67" customFormat="1" ht="29.25" customHeight="1" thickBot="1" x14ac:dyDescent="0.25">
      <c r="B15" s="112" t="s">
        <v>131</v>
      </c>
      <c r="C15" s="340">
        <f>SUM(C16:C28)</f>
        <v>100343807</v>
      </c>
      <c r="D15" s="341">
        <f>SUM(D16:D28)</f>
        <v>0</v>
      </c>
      <c r="E15" s="340">
        <f>SUM(E16:E28)</f>
        <v>0</v>
      </c>
      <c r="F15" s="341">
        <f>SUM(F16:F28)</f>
        <v>100343807</v>
      </c>
      <c r="H15" s="379"/>
      <c r="J15" s="379"/>
    </row>
    <row r="16" spans="2:10" ht="15" customHeight="1" thickBot="1" x14ac:dyDescent="0.25">
      <c r="B16" s="58" t="s">
        <v>194</v>
      </c>
      <c r="C16" s="380">
        <v>34519000</v>
      </c>
      <c r="D16" s="215"/>
      <c r="E16" s="216"/>
      <c r="F16" s="147">
        <f t="shared" si="1"/>
        <v>34519000</v>
      </c>
      <c r="H16" s="488"/>
      <c r="I16" s="1"/>
      <c r="J16" s="488"/>
    </row>
    <row r="17" spans="1:11" ht="15" customHeight="1" thickBot="1" x14ac:dyDescent="0.25">
      <c r="B17" s="58" t="s">
        <v>243</v>
      </c>
      <c r="C17" s="380">
        <v>1000000</v>
      </c>
      <c r="D17" s="215"/>
      <c r="E17" s="216"/>
      <c r="F17" s="147">
        <f t="shared" si="1"/>
        <v>1000000</v>
      </c>
      <c r="H17" s="488"/>
      <c r="I17" s="1"/>
      <c r="J17" s="488"/>
    </row>
    <row r="18" spans="1:11" ht="21.75" customHeight="1" thickBot="1" x14ac:dyDescent="0.25">
      <c r="B18" s="111" t="s">
        <v>245</v>
      </c>
      <c r="C18" s="380">
        <v>3000000</v>
      </c>
      <c r="D18" s="215"/>
      <c r="E18" s="216"/>
      <c r="F18" s="147">
        <f t="shared" si="1"/>
        <v>3000000</v>
      </c>
      <c r="H18" s="488"/>
      <c r="I18" s="1"/>
      <c r="J18" s="488"/>
    </row>
    <row r="19" spans="1:11" ht="17.25" customHeight="1" thickBot="1" x14ac:dyDescent="0.25">
      <c r="B19" s="58" t="s">
        <v>338</v>
      </c>
      <c r="C19" s="278">
        <v>2200000</v>
      </c>
      <c r="D19" s="215"/>
      <c r="E19" s="216"/>
      <c r="F19" s="147">
        <f t="shared" si="1"/>
        <v>2200000</v>
      </c>
      <c r="H19" s="575"/>
      <c r="I19" s="1"/>
      <c r="J19" s="488"/>
    </row>
    <row r="20" spans="1:11" ht="15" customHeight="1" thickBot="1" x14ac:dyDescent="0.25">
      <c r="B20" s="58" t="s">
        <v>66</v>
      </c>
      <c r="C20" s="278">
        <v>13000000</v>
      </c>
      <c r="D20" s="215"/>
      <c r="E20" s="216"/>
      <c r="F20" s="147">
        <f t="shared" si="1"/>
        <v>13000000</v>
      </c>
      <c r="H20" s="575"/>
      <c r="I20" s="1"/>
      <c r="J20" s="488"/>
      <c r="K20" s="89"/>
    </row>
    <row r="21" spans="1:11" ht="15" customHeight="1" thickBot="1" x14ac:dyDescent="0.25">
      <c r="B21" s="58" t="s">
        <v>337</v>
      </c>
      <c r="C21" s="279">
        <v>2924455</v>
      </c>
      <c r="D21" s="217"/>
      <c r="E21" s="218"/>
      <c r="F21" s="147">
        <f t="shared" si="1"/>
        <v>2924455</v>
      </c>
      <c r="H21" s="487"/>
      <c r="I21" s="1"/>
      <c r="J21" s="488"/>
    </row>
    <row r="22" spans="1:11" ht="17.25" customHeight="1" thickBot="1" x14ac:dyDescent="0.25">
      <c r="B22" s="58" t="s">
        <v>340</v>
      </c>
      <c r="C22" s="279">
        <v>2476598</v>
      </c>
      <c r="D22" s="217"/>
      <c r="E22" s="218"/>
      <c r="F22" s="147">
        <f t="shared" si="1"/>
        <v>2476598</v>
      </c>
      <c r="H22" s="487"/>
      <c r="I22" s="1"/>
      <c r="J22" s="488"/>
      <c r="K22" s="89"/>
    </row>
    <row r="23" spans="1:11" ht="16.149999999999999" customHeight="1" thickBot="1" x14ac:dyDescent="0.25">
      <c r="B23" s="58" t="s">
        <v>266</v>
      </c>
      <c r="C23" s="279">
        <v>50000</v>
      </c>
      <c r="D23" s="217"/>
      <c r="E23" s="218"/>
      <c r="F23" s="147">
        <f t="shared" si="1"/>
        <v>50000</v>
      </c>
      <c r="H23" s="487"/>
      <c r="I23" s="1"/>
      <c r="J23" s="488"/>
    </row>
    <row r="24" spans="1:11" ht="15" customHeight="1" thickBot="1" x14ac:dyDescent="0.25">
      <c r="B24" s="111" t="s">
        <v>265</v>
      </c>
      <c r="C24" s="279">
        <v>50000</v>
      </c>
      <c r="D24" s="217"/>
      <c r="E24" s="218"/>
      <c r="F24" s="147">
        <f t="shared" si="1"/>
        <v>50000</v>
      </c>
      <c r="H24" s="487"/>
      <c r="I24" s="1"/>
      <c r="J24" s="488"/>
    </row>
    <row r="25" spans="1:11" ht="15" customHeight="1" thickBot="1" x14ac:dyDescent="0.25">
      <c r="B25" s="111" t="s">
        <v>218</v>
      </c>
      <c r="C25" s="279">
        <f>'önkormányzat kiadásai 11. '!F7</f>
        <v>9268000</v>
      </c>
      <c r="D25" s="217"/>
      <c r="E25" s="218"/>
      <c r="F25" s="147">
        <f t="shared" si="1"/>
        <v>9268000</v>
      </c>
      <c r="H25" s="487"/>
      <c r="I25" s="1"/>
      <c r="J25" s="488"/>
    </row>
    <row r="26" spans="1:11" s="67" customFormat="1" ht="15" customHeight="1" thickBot="1" x14ac:dyDescent="0.25">
      <c r="A26" s="173"/>
      <c r="B26" s="59" t="s">
        <v>244</v>
      </c>
      <c r="C26" s="279">
        <v>3000000</v>
      </c>
      <c r="D26" s="217"/>
      <c r="E26" s="218"/>
      <c r="F26" s="147">
        <f t="shared" si="1"/>
        <v>3000000</v>
      </c>
      <c r="H26" s="563"/>
      <c r="I26" s="564"/>
      <c r="J26" s="563"/>
    </row>
    <row r="27" spans="1:11" s="67" customFormat="1" ht="28.9" customHeight="1" thickBot="1" x14ac:dyDescent="0.25">
      <c r="B27" s="269" t="s">
        <v>142</v>
      </c>
      <c r="C27" s="440">
        <v>2200000</v>
      </c>
      <c r="D27" s="219"/>
      <c r="E27" s="220"/>
      <c r="F27" s="147">
        <f t="shared" si="1"/>
        <v>2200000</v>
      </c>
      <c r="H27" s="563"/>
      <c r="I27" s="564"/>
      <c r="J27" s="563"/>
    </row>
    <row r="28" spans="1:11" ht="27.75" customHeight="1" thickBot="1" x14ac:dyDescent="0.25">
      <c r="B28" s="291" t="s">
        <v>267</v>
      </c>
      <c r="C28" s="576">
        <f>'önkormányzat kiadásai 11. '!G35</f>
        <v>26655754</v>
      </c>
      <c r="D28" s="290"/>
      <c r="E28" s="292"/>
      <c r="F28" s="333">
        <f t="shared" si="1"/>
        <v>26655754</v>
      </c>
    </row>
    <row r="29" spans="1:11" ht="27.75" customHeight="1" thickBot="1" x14ac:dyDescent="0.25">
      <c r="B29" s="24" t="s">
        <v>140</v>
      </c>
      <c r="C29" s="214">
        <f>SUM(C30:C32)</f>
        <v>265569898</v>
      </c>
      <c r="D29" s="214">
        <f>SUM(D30:D30)</f>
        <v>0</v>
      </c>
      <c r="E29" s="145">
        <f>SUM(E30:E30)</f>
        <v>0</v>
      </c>
      <c r="F29" s="147">
        <f t="shared" si="1"/>
        <v>265569898</v>
      </c>
    </row>
    <row r="30" spans="1:11" ht="27.75" customHeight="1" thickBot="1" x14ac:dyDescent="0.25">
      <c r="B30" s="392" t="s">
        <v>242</v>
      </c>
      <c r="C30" s="393"/>
      <c r="D30" s="211"/>
      <c r="E30" s="212"/>
      <c r="F30" s="147">
        <f t="shared" si="1"/>
        <v>0</v>
      </c>
    </row>
    <row r="31" spans="1:11" ht="26.25" thickBot="1" x14ac:dyDescent="0.25">
      <c r="B31" s="392" t="s">
        <v>225</v>
      </c>
      <c r="C31" s="430">
        <f>'önkormányzat kiadásai 11. '!K9</f>
        <v>13032816</v>
      </c>
      <c r="D31" s="431"/>
      <c r="E31" s="432"/>
      <c r="F31" s="147">
        <f t="shared" ref="F31" si="2">SUM(C31:E31)</f>
        <v>13032816</v>
      </c>
    </row>
    <row r="32" spans="1:11" ht="13.5" thickBot="1" x14ac:dyDescent="0.25">
      <c r="B32" s="392" t="s">
        <v>224</v>
      </c>
      <c r="C32" s="430">
        <f>'önkormányzat kiadásai 11. '!K10</f>
        <v>252537082</v>
      </c>
      <c r="D32" s="431"/>
      <c r="E32" s="432"/>
      <c r="F32" s="147">
        <f t="shared" si="1"/>
        <v>252537082</v>
      </c>
    </row>
    <row r="33" spans="2:6" ht="13.5" thickBot="1" x14ac:dyDescent="0.25">
      <c r="B33" s="24" t="s">
        <v>32</v>
      </c>
      <c r="C33" s="145">
        <f>C7+C12+C13+C14+C15+C29</f>
        <v>1256287263</v>
      </c>
      <c r="D33" s="145">
        <f>D7+D12+D13+D14+D15+D29</f>
        <v>228467282</v>
      </c>
      <c r="E33" s="145">
        <f>E7+E12+E13+E14+E15+E29</f>
        <v>22119579</v>
      </c>
      <c r="F33" s="145">
        <f>F7+F12+F13+F14+F15+F29</f>
        <v>1506874124</v>
      </c>
    </row>
    <row r="34" spans="2:6" x14ac:dyDescent="0.2">
      <c r="C34" s="154"/>
      <c r="D34" s="2"/>
    </row>
    <row r="35" spans="2:6" x14ac:dyDescent="0.2">
      <c r="C35" s="89"/>
      <c r="D35" s="89"/>
      <c r="E35" s="89"/>
      <c r="F35" s="2"/>
    </row>
    <row r="36" spans="2:6" x14ac:dyDescent="0.2">
      <c r="C36" s="89"/>
      <c r="F36" s="89"/>
    </row>
    <row r="37" spans="2:6" x14ac:dyDescent="0.2">
      <c r="C37" s="89"/>
    </row>
    <row r="38" spans="2:6" x14ac:dyDescent="0.2">
      <c r="C38" s="89"/>
    </row>
    <row r="40" spans="2:6" x14ac:dyDescent="0.2">
      <c r="C40" s="89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82" orientation="landscape" r:id="rId1"/>
  <headerFooter alignWithMargins="0">
    <oddHeader>&amp;R18.sz melléklet
..../2025.(VIII.28.)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view="pageLayout" topLeftCell="B1" zoomScaleNormal="140" workbookViewId="0">
      <selection activeCell="F9" sqref="F9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6.140625" style="331" customWidth="1"/>
    <col min="6" max="6" width="14.140625" style="331" customWidth="1"/>
    <col min="7" max="7" width="17.28515625" bestFit="1" customWidth="1"/>
    <col min="8" max="8" width="12.5703125" bestFit="1" customWidth="1"/>
  </cols>
  <sheetData>
    <row r="1" spans="1:12" x14ac:dyDescent="0.2">
      <c r="D1" s="94"/>
    </row>
    <row r="2" spans="1:12" x14ac:dyDescent="0.2">
      <c r="D2" s="94"/>
    </row>
    <row r="3" spans="1:12" x14ac:dyDescent="0.2">
      <c r="A3" s="270"/>
      <c r="B3" s="270"/>
      <c r="C3" s="270"/>
      <c r="D3" s="271"/>
    </row>
    <row r="4" spans="1:12" ht="15.75" x14ac:dyDescent="0.25">
      <c r="A4" s="723" t="s">
        <v>216</v>
      </c>
      <c r="B4" s="723"/>
      <c r="C4" s="723"/>
      <c r="D4" s="723"/>
    </row>
    <row r="5" spans="1:12" ht="13.5" thickBot="1" x14ac:dyDescent="0.25">
      <c r="A5" s="270"/>
      <c r="B5" s="270"/>
      <c r="C5" s="270"/>
      <c r="D5" s="272" t="s">
        <v>251</v>
      </c>
    </row>
    <row r="6" spans="1:12" ht="26.25" thickBot="1" x14ac:dyDescent="0.3">
      <c r="A6" s="383" t="s">
        <v>222</v>
      </c>
      <c r="B6" s="588" t="s">
        <v>143</v>
      </c>
      <c r="C6" s="574" t="s">
        <v>34</v>
      </c>
      <c r="D6" s="594" t="s">
        <v>346</v>
      </c>
      <c r="F6" s="465"/>
      <c r="G6" s="465"/>
      <c r="H6" s="465"/>
      <c r="I6" s="465"/>
      <c r="J6" s="465"/>
      <c r="K6" s="589"/>
      <c r="L6" s="589"/>
    </row>
    <row r="7" spans="1:12" s="173" customFormat="1" ht="15" x14ac:dyDescent="0.25">
      <c r="A7" s="593" t="s">
        <v>2</v>
      </c>
      <c r="B7" s="596" t="s">
        <v>269</v>
      </c>
      <c r="C7" s="597" t="s">
        <v>356</v>
      </c>
      <c r="D7" s="599">
        <v>745098</v>
      </c>
      <c r="E7" s="128"/>
      <c r="F7" s="465"/>
      <c r="G7" s="465"/>
      <c r="H7" s="465"/>
      <c r="I7" s="465"/>
      <c r="J7" s="465"/>
      <c r="K7" s="589"/>
      <c r="L7" s="589"/>
    </row>
    <row r="8" spans="1:12" s="173" customFormat="1" ht="13.5" customHeight="1" thickBot="1" x14ac:dyDescent="0.3">
      <c r="A8" s="590" t="s">
        <v>6</v>
      </c>
      <c r="B8" s="596" t="s">
        <v>173</v>
      </c>
      <c r="C8" s="598" t="s">
        <v>270</v>
      </c>
      <c r="D8" s="600">
        <v>2433794</v>
      </c>
      <c r="E8" s="331"/>
      <c r="F8" s="465"/>
      <c r="G8" s="465"/>
      <c r="H8" s="465"/>
      <c r="I8" s="465"/>
      <c r="J8" s="465"/>
      <c r="K8" s="589"/>
      <c r="L8" s="589"/>
    </row>
    <row r="9" spans="1:12" ht="15.75" thickBot="1" x14ac:dyDescent="0.3">
      <c r="A9" s="725" t="s">
        <v>13</v>
      </c>
      <c r="B9" s="725"/>
      <c r="C9" s="726"/>
      <c r="D9" s="595">
        <f>SUM(D7:D8)</f>
        <v>3178892</v>
      </c>
      <c r="F9" s="565"/>
      <c r="G9" s="465"/>
      <c r="H9" s="465"/>
      <c r="I9" s="465"/>
      <c r="J9" s="465"/>
      <c r="K9" s="589"/>
      <c r="L9" s="589"/>
    </row>
    <row r="10" spans="1:12" ht="12.75" customHeight="1" x14ac:dyDescent="0.25">
      <c r="A10" s="270"/>
      <c r="B10" s="270"/>
      <c r="C10" s="270"/>
      <c r="D10" s="381"/>
      <c r="F10" s="465"/>
      <c r="G10" s="465"/>
      <c r="H10" s="465"/>
      <c r="I10" s="465"/>
      <c r="J10" s="465"/>
      <c r="K10" s="466"/>
      <c r="L10" s="466"/>
    </row>
    <row r="11" spans="1:12" ht="12.75" customHeight="1" x14ac:dyDescent="0.25">
      <c r="A11" s="270"/>
      <c r="B11" s="270"/>
      <c r="C11" s="270"/>
      <c r="D11" s="467"/>
      <c r="F11" s="465"/>
      <c r="G11" s="465"/>
      <c r="H11" s="465"/>
      <c r="I11" s="465"/>
      <c r="J11" s="465"/>
      <c r="K11" s="466"/>
      <c r="L11" s="466"/>
    </row>
    <row r="12" spans="1:12" ht="15.75" x14ac:dyDescent="0.25">
      <c r="A12" s="723" t="s">
        <v>58</v>
      </c>
      <c r="B12" s="724"/>
      <c r="C12" s="724"/>
      <c r="D12" s="724"/>
    </row>
    <row r="13" spans="1:12" ht="13.5" thickBot="1" x14ac:dyDescent="0.25">
      <c r="A13" s="274"/>
      <c r="B13" s="274"/>
      <c r="C13" s="274"/>
      <c r="D13" s="272" t="s">
        <v>35</v>
      </c>
    </row>
    <row r="14" spans="1:12" ht="26.25" thickBot="1" x14ac:dyDescent="0.25">
      <c r="A14" s="383" t="s">
        <v>222</v>
      </c>
      <c r="B14" s="436" t="s">
        <v>143</v>
      </c>
      <c r="C14" s="568" t="s">
        <v>36</v>
      </c>
      <c r="D14" s="384" t="s">
        <v>346</v>
      </c>
    </row>
    <row r="15" spans="1:12" ht="13.5" thickBot="1" x14ac:dyDescent="0.25">
      <c r="A15" s="434" t="s">
        <v>2</v>
      </c>
      <c r="B15" s="606" t="s">
        <v>144</v>
      </c>
      <c r="C15" s="437" t="s">
        <v>246</v>
      </c>
      <c r="D15" s="603">
        <v>1780000</v>
      </c>
    </row>
    <row r="16" spans="1:12" s="173" customFormat="1" ht="13.5" thickBot="1" x14ac:dyDescent="0.25">
      <c r="A16" s="434" t="s">
        <v>6</v>
      </c>
      <c r="B16" s="275" t="s">
        <v>144</v>
      </c>
      <c r="C16" s="438" t="s">
        <v>220</v>
      </c>
      <c r="D16" s="591">
        <v>1711000</v>
      </c>
      <c r="E16" s="331"/>
      <c r="F16" s="128"/>
    </row>
    <row r="17" spans="1:7" s="173" customFormat="1" ht="13.5" thickBot="1" x14ac:dyDescent="0.25">
      <c r="A17" s="434" t="s">
        <v>10</v>
      </c>
      <c r="B17" s="275" t="s">
        <v>144</v>
      </c>
      <c r="C17" s="438" t="s">
        <v>219</v>
      </c>
      <c r="D17" s="591">
        <v>527600</v>
      </c>
      <c r="E17" s="331"/>
      <c r="F17" s="128"/>
    </row>
    <row r="18" spans="1:7" s="173" customFormat="1" ht="13.5" thickBot="1" x14ac:dyDescent="0.25">
      <c r="A18" s="434" t="s">
        <v>4</v>
      </c>
      <c r="B18" s="275" t="s">
        <v>359</v>
      </c>
      <c r="C18" s="438" t="s">
        <v>360</v>
      </c>
      <c r="D18" s="591">
        <f>247132*1.27</f>
        <v>313857.64</v>
      </c>
      <c r="E18" s="331"/>
      <c r="F18" s="128"/>
    </row>
    <row r="19" spans="1:7" ht="13.5" thickBot="1" x14ac:dyDescent="0.25">
      <c r="A19" s="434" t="s">
        <v>7</v>
      </c>
      <c r="B19" s="275" t="s">
        <v>144</v>
      </c>
      <c r="C19" s="438" t="s">
        <v>271</v>
      </c>
      <c r="D19" s="591">
        <v>3288791</v>
      </c>
      <c r="F19" s="128"/>
    </row>
    <row r="20" spans="1:7" ht="13.5" thickBot="1" x14ac:dyDescent="0.25">
      <c r="A20" s="434" t="s">
        <v>11</v>
      </c>
      <c r="B20" s="275" t="s">
        <v>144</v>
      </c>
      <c r="C20" s="438" t="s">
        <v>272</v>
      </c>
      <c r="D20" s="591">
        <v>160000</v>
      </c>
    </row>
    <row r="21" spans="1:7" ht="13.5" thickBot="1" x14ac:dyDescent="0.25">
      <c r="A21" s="434" t="s">
        <v>5</v>
      </c>
      <c r="B21" s="275" t="s">
        <v>269</v>
      </c>
      <c r="C21" s="439" t="s">
        <v>347</v>
      </c>
      <c r="D21" s="591">
        <v>4254902</v>
      </c>
    </row>
    <row r="22" spans="1:7" ht="13.5" thickBot="1" x14ac:dyDescent="0.25">
      <c r="A22" s="434" t="s">
        <v>12</v>
      </c>
      <c r="B22" s="275" t="s">
        <v>173</v>
      </c>
      <c r="C22" s="439" t="s">
        <v>348</v>
      </c>
      <c r="D22" s="591">
        <v>1000000</v>
      </c>
    </row>
    <row r="23" spans="1:7" ht="13.5" thickBot="1" x14ac:dyDescent="0.25">
      <c r="A23" s="434" t="s">
        <v>8</v>
      </c>
      <c r="B23" s="273" t="s">
        <v>173</v>
      </c>
      <c r="C23" s="439" t="s">
        <v>249</v>
      </c>
      <c r="D23" s="591">
        <v>23372568</v>
      </c>
      <c r="E23" s="348"/>
    </row>
    <row r="24" spans="1:7" ht="13.5" thickBot="1" x14ac:dyDescent="0.25">
      <c r="A24" s="434" t="s">
        <v>3</v>
      </c>
      <c r="B24" s="273" t="s">
        <v>173</v>
      </c>
      <c r="C24" s="439" t="s">
        <v>248</v>
      </c>
      <c r="D24" s="591">
        <v>68917757</v>
      </c>
      <c r="E24" s="348"/>
    </row>
    <row r="25" spans="1:7" ht="13.5" thickBot="1" x14ac:dyDescent="0.25">
      <c r="A25" s="434" t="s">
        <v>9</v>
      </c>
      <c r="B25" s="273" t="s">
        <v>173</v>
      </c>
      <c r="C25" s="439" t="s">
        <v>361</v>
      </c>
      <c r="D25" s="591">
        <v>3750000</v>
      </c>
      <c r="E25" s="348"/>
    </row>
    <row r="26" spans="1:7" ht="13.5" thickBot="1" x14ac:dyDescent="0.25">
      <c r="A26" s="434" t="s">
        <v>25</v>
      </c>
      <c r="B26" s="273" t="s">
        <v>173</v>
      </c>
      <c r="C26" s="439" t="s">
        <v>364</v>
      </c>
      <c r="D26" s="591">
        <v>425900</v>
      </c>
      <c r="E26" s="348"/>
    </row>
    <row r="27" spans="1:7" ht="13.5" thickBot="1" x14ac:dyDescent="0.25">
      <c r="A27" s="434" t="s">
        <v>15</v>
      </c>
      <c r="B27" s="273" t="s">
        <v>173</v>
      </c>
      <c r="C27" s="439" t="s">
        <v>362</v>
      </c>
      <c r="D27" s="591">
        <v>130000</v>
      </c>
      <c r="E27" s="348"/>
    </row>
    <row r="28" spans="1:7" ht="13.5" thickBot="1" x14ac:dyDescent="0.25">
      <c r="A28" s="434" t="s">
        <v>48</v>
      </c>
      <c r="B28" s="273" t="s">
        <v>173</v>
      </c>
      <c r="C28" s="439" t="s">
        <v>363</v>
      </c>
      <c r="D28" s="591">
        <f>236220+63780</f>
        <v>300000</v>
      </c>
      <c r="E28" s="348"/>
    </row>
    <row r="29" spans="1:7" ht="13.5" thickBot="1" x14ac:dyDescent="0.25">
      <c r="A29" s="604" t="s">
        <v>51</v>
      </c>
      <c r="B29" s="602" t="s">
        <v>173</v>
      </c>
      <c r="C29" s="439" t="s">
        <v>268</v>
      </c>
      <c r="D29" s="591">
        <v>215000</v>
      </c>
      <c r="E29" s="348"/>
      <c r="G29" s="89"/>
    </row>
    <row r="30" spans="1:7" ht="13.5" thickBot="1" x14ac:dyDescent="0.25">
      <c r="A30" s="604" t="s">
        <v>49</v>
      </c>
      <c r="B30" s="602" t="s">
        <v>365</v>
      </c>
      <c r="C30" s="439" t="s">
        <v>366</v>
      </c>
      <c r="D30" s="591">
        <v>650701</v>
      </c>
      <c r="E30" s="348"/>
      <c r="G30" s="89"/>
    </row>
    <row r="31" spans="1:7" ht="13.5" thickBot="1" x14ac:dyDescent="0.25">
      <c r="A31" s="604" t="s">
        <v>50</v>
      </c>
      <c r="B31" s="602" t="s">
        <v>172</v>
      </c>
      <c r="C31" s="439" t="s">
        <v>369</v>
      </c>
      <c r="D31" s="591">
        <f>14324299*1.27</f>
        <v>18191859.73</v>
      </c>
      <c r="E31" s="348"/>
    </row>
    <row r="32" spans="1:7" ht="13.5" thickBot="1" x14ac:dyDescent="0.25">
      <c r="A32" s="604" t="s">
        <v>52</v>
      </c>
      <c r="B32" s="273" t="s">
        <v>172</v>
      </c>
      <c r="C32" s="438" t="s">
        <v>349</v>
      </c>
      <c r="D32" s="591">
        <v>2000000</v>
      </c>
      <c r="E32" s="348"/>
    </row>
    <row r="33" spans="1:7" ht="13.5" thickBot="1" x14ac:dyDescent="0.25">
      <c r="A33" s="604" t="s">
        <v>53</v>
      </c>
      <c r="B33" s="273" t="s">
        <v>172</v>
      </c>
      <c r="C33" s="438" t="s">
        <v>367</v>
      </c>
      <c r="D33" s="591">
        <f>17560*1.27</f>
        <v>22301.200000000001</v>
      </c>
      <c r="E33" s="348"/>
    </row>
    <row r="34" spans="1:7" ht="26.25" thickBot="1" x14ac:dyDescent="0.25">
      <c r="A34" s="604" t="s">
        <v>54</v>
      </c>
      <c r="B34" s="273" t="s">
        <v>172</v>
      </c>
      <c r="C34" s="601" t="s">
        <v>368</v>
      </c>
      <c r="D34" s="591">
        <v>3713551</v>
      </c>
      <c r="E34" s="348"/>
      <c r="G34" s="89"/>
    </row>
    <row r="35" spans="1:7" ht="13.5" thickBot="1" x14ac:dyDescent="0.25">
      <c r="A35" s="604" t="s">
        <v>14</v>
      </c>
      <c r="B35" s="273" t="s">
        <v>273</v>
      </c>
      <c r="C35" s="438" t="s">
        <v>350</v>
      </c>
      <c r="D35" s="591">
        <v>1000000</v>
      </c>
      <c r="E35" s="348"/>
    </row>
    <row r="36" spans="1:7" ht="13.5" thickBot="1" x14ac:dyDescent="0.25">
      <c r="A36" s="604" t="s">
        <v>55</v>
      </c>
      <c r="B36" s="273" t="s">
        <v>250</v>
      </c>
      <c r="C36" s="438" t="s">
        <v>290</v>
      </c>
      <c r="D36" s="591">
        <v>200607174</v>
      </c>
      <c r="E36" s="348"/>
    </row>
    <row r="37" spans="1:7" ht="13.5" thickBot="1" x14ac:dyDescent="0.25">
      <c r="A37" s="604" t="s">
        <v>56</v>
      </c>
      <c r="B37" s="273" t="s">
        <v>250</v>
      </c>
      <c r="C37" s="438" t="s">
        <v>351</v>
      </c>
      <c r="D37" s="591">
        <v>14000000</v>
      </c>
      <c r="E37" s="348"/>
    </row>
    <row r="38" spans="1:7" ht="13.5" thickBot="1" x14ac:dyDescent="0.25">
      <c r="A38" s="604" t="s">
        <v>57</v>
      </c>
      <c r="B38" s="273" t="s">
        <v>257</v>
      </c>
      <c r="C38" s="438" t="s">
        <v>352</v>
      </c>
      <c r="D38" s="591">
        <v>6000000</v>
      </c>
      <c r="E38" s="348"/>
    </row>
    <row r="39" spans="1:7" ht="13.5" thickBot="1" x14ac:dyDescent="0.25">
      <c r="A39" s="604" t="s">
        <v>63</v>
      </c>
      <c r="B39" s="273" t="s">
        <v>310</v>
      </c>
      <c r="C39" s="438" t="s">
        <v>353</v>
      </c>
      <c r="D39" s="591">
        <v>1959892</v>
      </c>
    </row>
    <row r="40" spans="1:7" ht="13.5" thickBot="1" x14ac:dyDescent="0.25">
      <c r="A40" s="604" t="s">
        <v>64</v>
      </c>
      <c r="B40" s="273" t="s">
        <v>310</v>
      </c>
      <c r="C40" s="438" t="s">
        <v>370</v>
      </c>
      <c r="D40" s="591">
        <v>890108</v>
      </c>
    </row>
    <row r="41" spans="1:7" ht="13.5" thickBot="1" x14ac:dyDescent="0.25">
      <c r="A41" s="604" t="s">
        <v>65</v>
      </c>
      <c r="B41" s="273" t="s">
        <v>274</v>
      </c>
      <c r="C41" s="438" t="s">
        <v>276</v>
      </c>
      <c r="D41" s="591">
        <v>100000</v>
      </c>
    </row>
    <row r="42" spans="1:7" ht="13.5" thickBot="1" x14ac:dyDescent="0.25">
      <c r="A42" s="604" t="s">
        <v>174</v>
      </c>
      <c r="B42" s="273" t="s">
        <v>274</v>
      </c>
      <c r="C42" s="438" t="s">
        <v>354</v>
      </c>
      <c r="D42" s="591">
        <v>500000</v>
      </c>
    </row>
    <row r="43" spans="1:7" ht="13.5" thickBot="1" x14ac:dyDescent="0.25">
      <c r="A43" s="604" t="s">
        <v>175</v>
      </c>
      <c r="B43" s="273" t="s">
        <v>275</v>
      </c>
      <c r="C43" s="438" t="s">
        <v>277</v>
      </c>
      <c r="D43" s="591">
        <v>100000</v>
      </c>
    </row>
    <row r="44" spans="1:7" ht="13.5" thickBot="1" x14ac:dyDescent="0.25">
      <c r="A44" s="604" t="s">
        <v>176</v>
      </c>
      <c r="B44" s="273" t="s">
        <v>275</v>
      </c>
      <c r="C44" s="438" t="s">
        <v>371</v>
      </c>
      <c r="D44" s="591">
        <v>44900</v>
      </c>
    </row>
    <row r="45" spans="1:7" ht="13.5" thickBot="1" x14ac:dyDescent="0.25">
      <c r="A45" s="604" t="s">
        <v>177</v>
      </c>
      <c r="B45" s="273" t="s">
        <v>247</v>
      </c>
      <c r="C45" s="438" t="s">
        <v>355</v>
      </c>
      <c r="D45" s="591">
        <v>150000</v>
      </c>
    </row>
    <row r="46" spans="1:7" ht="13.5" thickBot="1" x14ac:dyDescent="0.25">
      <c r="A46" s="605" t="s">
        <v>178</v>
      </c>
      <c r="B46" s="607" t="s">
        <v>357</v>
      </c>
      <c r="C46" s="438" t="s">
        <v>358</v>
      </c>
      <c r="D46" s="591">
        <v>150000</v>
      </c>
    </row>
    <row r="47" spans="1:7" ht="13.5" thickBot="1" x14ac:dyDescent="0.25">
      <c r="A47" s="727" t="s">
        <v>13</v>
      </c>
      <c r="B47" s="728"/>
      <c r="C47" s="729"/>
      <c r="D47" s="592">
        <f>SUM(D15:D46)</f>
        <v>360227862.56999999</v>
      </c>
    </row>
  </sheetData>
  <mergeCells count="4">
    <mergeCell ref="A4:D4"/>
    <mergeCell ref="A12:D12"/>
    <mergeCell ref="A9:C9"/>
    <mergeCell ref="A47:C47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 xml:space="preserve">&amp;R19. sz. melléklet
.../2025.(VIII.28.)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view="pageLayout" zoomScaleNormal="110" workbookViewId="0">
      <selection activeCell="C43" sqref="C43"/>
    </sheetView>
  </sheetViews>
  <sheetFormatPr defaultRowHeight="12.75" x14ac:dyDescent="0.2"/>
  <cols>
    <col min="1" max="1" width="62.140625" customWidth="1"/>
    <col min="2" max="2" width="17" customWidth="1"/>
    <col min="3" max="3" width="18.5703125" style="331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62" t="s">
        <v>328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86.25" customHeight="1" thickBot="1" x14ac:dyDescent="0.25">
      <c r="A6" s="663" t="s">
        <v>96</v>
      </c>
      <c r="B6" s="337" t="s">
        <v>77</v>
      </c>
      <c r="C6" s="377" t="s">
        <v>81</v>
      </c>
      <c r="D6" s="337" t="s">
        <v>94</v>
      </c>
      <c r="E6" s="337" t="s">
        <v>75</v>
      </c>
      <c r="F6" s="337" t="s">
        <v>95</v>
      </c>
      <c r="G6" s="337" t="s">
        <v>92</v>
      </c>
      <c r="H6" s="337" t="s">
        <v>83</v>
      </c>
      <c r="I6" s="337" t="s">
        <v>90</v>
      </c>
      <c r="J6" s="338" t="s">
        <v>13</v>
      </c>
    </row>
    <row r="7" spans="1:10" ht="25.5" customHeight="1" thickBot="1" x14ac:dyDescent="0.25">
      <c r="A7" s="664"/>
      <c r="B7" s="132" t="s">
        <v>264</v>
      </c>
      <c r="C7" s="132" t="s">
        <v>264</v>
      </c>
      <c r="D7" s="132" t="s">
        <v>264</v>
      </c>
      <c r="E7" s="132" t="s">
        <v>264</v>
      </c>
      <c r="F7" s="132" t="s">
        <v>264</v>
      </c>
      <c r="G7" s="132" t="s">
        <v>264</v>
      </c>
      <c r="H7" s="132" t="s">
        <v>264</v>
      </c>
      <c r="I7" s="132" t="s">
        <v>264</v>
      </c>
      <c r="J7" s="132" t="s">
        <v>264</v>
      </c>
    </row>
    <row r="8" spans="1:10" s="246" customFormat="1" ht="27.75" customHeight="1" thickBot="1" x14ac:dyDescent="0.25">
      <c r="A8" s="265" t="s">
        <v>188</v>
      </c>
      <c r="B8" s="367"/>
      <c r="C8" s="369"/>
      <c r="D8" s="368"/>
      <c r="E8" s="369">
        <v>5100649</v>
      </c>
      <c r="F8" s="368"/>
      <c r="G8" s="368">
        <v>20955816</v>
      </c>
      <c r="H8" s="368"/>
      <c r="I8" s="370"/>
      <c r="J8" s="364">
        <f>SUM(B8:I8)</f>
        <v>26056465</v>
      </c>
    </row>
    <row r="9" spans="1:10" ht="13.5" thickBot="1" x14ac:dyDescent="0.25">
      <c r="A9" s="446" t="s">
        <v>103</v>
      </c>
      <c r="B9" s="371"/>
      <c r="C9" s="215"/>
      <c r="D9" s="251"/>
      <c r="E9" s="215">
        <v>1607163</v>
      </c>
      <c r="F9" s="251"/>
      <c r="G9" s="215"/>
      <c r="H9" s="251"/>
      <c r="I9" s="372"/>
      <c r="J9" s="364">
        <f t="shared" ref="J9:J28" si="0">SUM(B9:I9)</f>
        <v>1607163</v>
      </c>
    </row>
    <row r="10" spans="1:10" s="66" customFormat="1" ht="27.75" customHeight="1" thickBot="1" x14ac:dyDescent="0.25">
      <c r="A10" s="460" t="s">
        <v>97</v>
      </c>
      <c r="B10" s="375">
        <v>3696000</v>
      </c>
      <c r="C10" s="366"/>
      <c r="D10" s="366"/>
      <c r="E10" s="366">
        <v>73765685</v>
      </c>
      <c r="F10" s="366">
        <v>46649567</v>
      </c>
      <c r="G10" s="366"/>
      <c r="H10" s="366"/>
      <c r="I10" s="376"/>
      <c r="J10" s="364">
        <f t="shared" si="0"/>
        <v>124111252</v>
      </c>
    </row>
    <row r="11" spans="1:10" s="462" customFormat="1" ht="15.75" customHeight="1" thickBot="1" x14ac:dyDescent="0.25">
      <c r="A11" s="388" t="s">
        <v>99</v>
      </c>
      <c r="B11" s="375">
        <f>'Bevétel 1.melléklet'!B8</f>
        <v>382980191</v>
      </c>
      <c r="C11" s="366"/>
      <c r="D11" s="366"/>
      <c r="E11" s="461"/>
      <c r="F11" s="366"/>
      <c r="G11" s="461"/>
      <c r="H11" s="461"/>
      <c r="I11" s="376">
        <f>'Bevétel 1.melléklet'!B45</f>
        <v>13032816</v>
      </c>
      <c r="J11" s="364">
        <f t="shared" si="0"/>
        <v>396013007</v>
      </c>
    </row>
    <row r="12" spans="1:10" s="462" customFormat="1" ht="15.75" customHeight="1" thickBot="1" x14ac:dyDescent="0.25">
      <c r="A12" s="463" t="s">
        <v>205</v>
      </c>
      <c r="B12" s="375"/>
      <c r="C12" s="366"/>
      <c r="D12" s="366"/>
      <c r="E12" s="461"/>
      <c r="F12" s="366"/>
      <c r="G12" s="461"/>
      <c r="H12" s="461"/>
      <c r="I12" s="376">
        <f>'Bevétel 1.melléklet'!B41</f>
        <v>174596133</v>
      </c>
      <c r="J12" s="364">
        <f t="shared" si="0"/>
        <v>174596133</v>
      </c>
    </row>
    <row r="13" spans="1:10" s="462" customFormat="1" ht="15.75" customHeight="1" thickBot="1" x14ac:dyDescent="0.25">
      <c r="A13" s="463" t="s">
        <v>227</v>
      </c>
      <c r="B13" s="375">
        <v>107885318</v>
      </c>
      <c r="C13" s="366">
        <v>650701</v>
      </c>
      <c r="D13" s="366"/>
      <c r="E13" s="461"/>
      <c r="F13" s="366"/>
      <c r="G13" s="461"/>
      <c r="H13" s="461"/>
      <c r="I13" s="376"/>
      <c r="J13" s="364">
        <f t="shared" si="0"/>
        <v>108536019</v>
      </c>
    </row>
    <row r="14" spans="1:10" s="66" customFormat="1" ht="13.5" thickBot="1" x14ac:dyDescent="0.25">
      <c r="A14" s="463" t="s">
        <v>102</v>
      </c>
      <c r="B14" s="375">
        <v>337260363</v>
      </c>
      <c r="C14" s="366">
        <v>1351163</v>
      </c>
      <c r="D14" s="464"/>
      <c r="E14" s="366">
        <v>20692312</v>
      </c>
      <c r="F14" s="366">
        <v>10000</v>
      </c>
      <c r="G14" s="464"/>
      <c r="H14" s="464"/>
      <c r="I14" s="376"/>
      <c r="J14" s="364">
        <f t="shared" si="0"/>
        <v>359313838</v>
      </c>
    </row>
    <row r="15" spans="1:10" s="66" customFormat="1" ht="15.75" customHeight="1" thickBot="1" x14ac:dyDescent="0.25">
      <c r="A15" s="460" t="s">
        <v>187</v>
      </c>
      <c r="B15" s="375"/>
      <c r="C15" s="366"/>
      <c r="D15" s="366"/>
      <c r="E15" s="366">
        <v>39243000</v>
      </c>
      <c r="F15" s="366"/>
      <c r="G15" s="366"/>
      <c r="H15" s="366"/>
      <c r="I15" s="376"/>
      <c r="J15" s="364">
        <f t="shared" si="0"/>
        <v>39243000</v>
      </c>
    </row>
    <row r="16" spans="1:10" s="66" customFormat="1" ht="13.5" thickBot="1" x14ac:dyDescent="0.25">
      <c r="A16" s="388" t="s">
        <v>217</v>
      </c>
      <c r="B16" s="375"/>
      <c r="C16" s="366">
        <v>199531992</v>
      </c>
      <c r="D16" s="366"/>
      <c r="E16" s="366"/>
      <c r="F16" s="366"/>
      <c r="G16" s="366"/>
      <c r="H16" s="366"/>
      <c r="I16" s="376"/>
      <c r="J16" s="364">
        <f t="shared" si="0"/>
        <v>199531992</v>
      </c>
    </row>
    <row r="17" spans="1:10" s="66" customFormat="1" ht="13.5" thickBot="1" x14ac:dyDescent="0.25">
      <c r="A17" s="388" t="s">
        <v>228</v>
      </c>
      <c r="B17" s="375"/>
      <c r="C17" s="366"/>
      <c r="D17" s="366"/>
      <c r="E17" s="366">
        <v>762000</v>
      </c>
      <c r="F17" s="366"/>
      <c r="G17" s="366"/>
      <c r="H17" s="366"/>
      <c r="I17" s="376"/>
      <c r="J17" s="364">
        <f t="shared" si="0"/>
        <v>762000</v>
      </c>
    </row>
    <row r="18" spans="1:10" s="66" customFormat="1" ht="18" customHeight="1" thickBot="1" x14ac:dyDescent="0.25">
      <c r="A18" s="460" t="s">
        <v>193</v>
      </c>
      <c r="B18" s="375"/>
      <c r="C18" s="366"/>
      <c r="D18" s="366"/>
      <c r="E18" s="366">
        <v>635000</v>
      </c>
      <c r="F18" s="366"/>
      <c r="G18" s="366"/>
      <c r="H18" s="366"/>
      <c r="I18" s="376"/>
      <c r="J18" s="364">
        <f t="shared" si="0"/>
        <v>635000</v>
      </c>
    </row>
    <row r="19" spans="1:10" ht="18" customHeight="1" thickBot="1" x14ac:dyDescent="0.25">
      <c r="A19" s="247" t="s">
        <v>299</v>
      </c>
      <c r="B19" s="373"/>
      <c r="C19" s="165">
        <v>13453220</v>
      </c>
      <c r="D19" s="165"/>
      <c r="E19" s="165"/>
      <c r="F19" s="165"/>
      <c r="G19" s="165"/>
      <c r="H19" s="165"/>
      <c r="I19" s="374"/>
      <c r="J19" s="364">
        <f t="shared" si="0"/>
        <v>13453220</v>
      </c>
    </row>
    <row r="20" spans="1:10" s="66" customFormat="1" ht="13.5" thickBot="1" x14ac:dyDescent="0.25">
      <c r="A20" s="388" t="s">
        <v>98</v>
      </c>
      <c r="B20" s="375">
        <v>2450000</v>
      </c>
      <c r="C20" s="366"/>
      <c r="D20" s="366"/>
      <c r="E20" s="366">
        <v>303000</v>
      </c>
      <c r="F20" s="366"/>
      <c r="G20" s="366"/>
      <c r="H20" s="366"/>
      <c r="I20" s="376"/>
      <c r="J20" s="364">
        <f t="shared" si="0"/>
        <v>2753000</v>
      </c>
    </row>
    <row r="21" spans="1:10" s="66" customFormat="1" ht="13.5" thickBot="1" x14ac:dyDescent="0.25">
      <c r="A21" s="463" t="s">
        <v>126</v>
      </c>
      <c r="B21" s="375">
        <v>68103500</v>
      </c>
      <c r="C21" s="366"/>
      <c r="D21" s="366"/>
      <c r="E21" s="366">
        <v>1435000</v>
      </c>
      <c r="F21" s="366"/>
      <c r="G21" s="366"/>
      <c r="H21" s="366"/>
      <c r="I21" s="376"/>
      <c r="J21" s="364">
        <f t="shared" si="0"/>
        <v>69538500</v>
      </c>
    </row>
    <row r="22" spans="1:10" s="66" customFormat="1" ht="13.5" thickBot="1" x14ac:dyDescent="0.25">
      <c r="A22" s="463" t="s">
        <v>256</v>
      </c>
      <c r="B22" s="375">
        <v>6444900</v>
      </c>
      <c r="C22" s="366"/>
      <c r="D22" s="366"/>
      <c r="E22" s="366">
        <v>381000</v>
      </c>
      <c r="F22" s="366"/>
      <c r="G22" s="366"/>
      <c r="H22" s="366"/>
      <c r="I22" s="376"/>
      <c r="J22" s="364">
        <f t="shared" si="0"/>
        <v>6825900</v>
      </c>
    </row>
    <row r="23" spans="1:10" s="66" customFormat="1" ht="13.5" thickBot="1" x14ac:dyDescent="0.25">
      <c r="A23" s="463" t="s">
        <v>331</v>
      </c>
      <c r="B23" s="375"/>
      <c r="C23" s="366"/>
      <c r="D23" s="366"/>
      <c r="E23" s="366">
        <v>686000</v>
      </c>
      <c r="F23" s="366"/>
      <c r="G23" s="366"/>
      <c r="H23" s="366"/>
      <c r="I23" s="376"/>
      <c r="J23" s="364">
        <f t="shared" si="0"/>
        <v>686000</v>
      </c>
    </row>
    <row r="24" spans="1:10" s="66" customFormat="1" ht="13.5" thickBot="1" x14ac:dyDescent="0.25">
      <c r="A24" s="463" t="s">
        <v>332</v>
      </c>
      <c r="B24" s="375">
        <v>282000</v>
      </c>
      <c r="C24" s="366"/>
      <c r="D24" s="366"/>
      <c r="E24" s="366"/>
      <c r="F24" s="366"/>
      <c r="G24" s="366"/>
      <c r="H24" s="366"/>
      <c r="I24" s="376"/>
      <c r="J24" s="364">
        <f t="shared" si="0"/>
        <v>282000</v>
      </c>
    </row>
    <row r="25" spans="1:10" ht="13.5" thickBot="1" x14ac:dyDescent="0.25">
      <c r="A25" s="248" t="s">
        <v>101</v>
      </c>
      <c r="B25" s="371"/>
      <c r="C25" s="215"/>
      <c r="D25" s="251"/>
      <c r="E25" s="215">
        <v>8000</v>
      </c>
      <c r="F25" s="251"/>
      <c r="G25" s="251"/>
      <c r="H25" s="251"/>
      <c r="I25" s="372"/>
      <c r="J25" s="364">
        <f t="shared" si="0"/>
        <v>8000</v>
      </c>
    </row>
    <row r="26" spans="1:10" ht="13.5" thickBot="1" x14ac:dyDescent="0.25">
      <c r="A26" s="248" t="s">
        <v>229</v>
      </c>
      <c r="B26" s="371"/>
      <c r="C26" s="215"/>
      <c r="D26" s="251"/>
      <c r="E26" s="215"/>
      <c r="F26" s="251"/>
      <c r="G26" s="215">
        <v>3000000</v>
      </c>
      <c r="H26" s="251"/>
      <c r="I26" s="372"/>
      <c r="J26" s="364">
        <f t="shared" si="0"/>
        <v>3000000</v>
      </c>
    </row>
    <row r="27" spans="1:10" ht="26.25" thickBot="1" x14ac:dyDescent="0.25">
      <c r="A27" s="382" t="s">
        <v>221</v>
      </c>
      <c r="B27" s="371">
        <v>3500000</v>
      </c>
      <c r="C27" s="215"/>
      <c r="D27" s="251"/>
      <c r="E27" s="215"/>
      <c r="F27" s="251"/>
      <c r="G27" s="215"/>
      <c r="H27" s="251"/>
      <c r="I27" s="372"/>
      <c r="J27" s="364">
        <f>SUM(B27:I27)</f>
        <v>3500000</v>
      </c>
    </row>
    <row r="28" spans="1:10" ht="30" customHeight="1" thickBot="1" x14ac:dyDescent="0.25">
      <c r="A28" s="247" t="s">
        <v>100</v>
      </c>
      <c r="B28" s="373"/>
      <c r="C28" s="165"/>
      <c r="D28" s="165">
        <v>150629512</v>
      </c>
      <c r="E28" s="165"/>
      <c r="F28" s="165"/>
      <c r="G28" s="165"/>
      <c r="H28" s="165"/>
      <c r="I28" s="374"/>
      <c r="J28" s="363">
        <f t="shared" si="0"/>
        <v>150629512</v>
      </c>
    </row>
    <row r="29" spans="1:10" s="134" customFormat="1" ht="13.5" thickBot="1" x14ac:dyDescent="0.25">
      <c r="A29" s="249" t="s">
        <v>13</v>
      </c>
      <c r="B29" s="365">
        <f t="shared" ref="B29:J29" si="1">SUM(B8:B28)</f>
        <v>912602272</v>
      </c>
      <c r="C29" s="365">
        <f t="shared" si="1"/>
        <v>214987076</v>
      </c>
      <c r="D29" s="365">
        <f t="shared" si="1"/>
        <v>150629512</v>
      </c>
      <c r="E29" s="365">
        <f t="shared" si="1"/>
        <v>144618809</v>
      </c>
      <c r="F29" s="365">
        <f t="shared" si="1"/>
        <v>46659567</v>
      </c>
      <c r="G29" s="365">
        <f t="shared" si="1"/>
        <v>23955816</v>
      </c>
      <c r="H29" s="365">
        <f t="shared" si="1"/>
        <v>0</v>
      </c>
      <c r="I29" s="365">
        <f t="shared" si="1"/>
        <v>187628949</v>
      </c>
      <c r="J29" s="339">
        <f t="shared" si="1"/>
        <v>1681082001</v>
      </c>
    </row>
    <row r="32" spans="1:10" x14ac:dyDescent="0.2">
      <c r="B32" s="331"/>
    </row>
    <row r="34" spans="2:10" x14ac:dyDescent="0.2">
      <c r="B34" s="331"/>
    </row>
    <row r="35" spans="2:10" x14ac:dyDescent="0.2">
      <c r="J35" s="89"/>
    </row>
  </sheetData>
  <mergeCells count="2">
    <mergeCell ref="A1:J2"/>
    <mergeCell ref="A6:A7"/>
  </mergeCells>
  <phoneticPr fontId="34" type="noConversion"/>
  <pageMargins left="0.75" right="0.75" top="1" bottom="1" header="0.5" footer="0.5"/>
  <pageSetup paperSize="9" scale="61" orientation="landscape" r:id="rId1"/>
  <headerFooter alignWithMargins="0">
    <oddHeader>&amp;R2. sz. melléklete
........./2025. (VIII.28.)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view="pageLayout" zoomScaleNormal="100" zoomScaleSheetLayoutView="100" workbookViewId="0">
      <selection activeCell="E49" sqref="E49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  <col min="7" max="7" width="22.140625" customWidth="1"/>
  </cols>
  <sheetData>
    <row r="1" spans="2:6" ht="15.75" x14ac:dyDescent="0.25">
      <c r="B1" s="707" t="s">
        <v>339</v>
      </c>
      <c r="C1" s="730"/>
      <c r="D1" s="730"/>
      <c r="E1" s="730"/>
    </row>
    <row r="2" spans="2:6" ht="15.75" x14ac:dyDescent="0.25">
      <c r="B2" s="496"/>
      <c r="C2" s="497"/>
      <c r="D2" s="497"/>
      <c r="E2" s="497"/>
    </row>
    <row r="3" spans="2:6" ht="16.5" thickBot="1" x14ac:dyDescent="0.25">
      <c r="B3" s="41" t="s">
        <v>42</v>
      </c>
      <c r="C3" s="41"/>
      <c r="D3" s="164" t="s">
        <v>204</v>
      </c>
    </row>
    <row r="4" spans="2:6" ht="26.25" thickBot="1" x14ac:dyDescent="0.25">
      <c r="B4" s="44" t="s">
        <v>43</v>
      </c>
      <c r="C4" s="45" t="s">
        <v>44</v>
      </c>
      <c r="D4" s="46" t="s">
        <v>392</v>
      </c>
      <c r="E4" s="79"/>
    </row>
    <row r="5" spans="2:6" ht="13.5" customHeight="1" thickBot="1" x14ac:dyDescent="0.25">
      <c r="B5" s="44">
        <v>1</v>
      </c>
      <c r="C5" s="45">
        <v>2</v>
      </c>
      <c r="D5" s="46">
        <v>5</v>
      </c>
    </row>
    <row r="6" spans="2:6" ht="26.25" thickBot="1" x14ac:dyDescent="0.25">
      <c r="B6" s="47" t="s">
        <v>2</v>
      </c>
      <c r="C6" s="149" t="s">
        <v>77</v>
      </c>
      <c r="D6" s="74">
        <f>D7+D13+D14</f>
        <v>912602272</v>
      </c>
      <c r="F6" s="89"/>
    </row>
    <row r="7" spans="2:6" s="75" customFormat="1" ht="13.5" thickBot="1" x14ac:dyDescent="0.25">
      <c r="B7" s="47" t="s">
        <v>6</v>
      </c>
      <c r="C7" s="227" t="s">
        <v>80</v>
      </c>
      <c r="D7" s="256">
        <f>SUM(D8:D12)</f>
        <v>382980191</v>
      </c>
    </row>
    <row r="8" spans="2:6" ht="13.5" thickBot="1" x14ac:dyDescent="0.25">
      <c r="B8" s="47" t="s">
        <v>10</v>
      </c>
      <c r="C8" s="49" t="s">
        <v>145</v>
      </c>
      <c r="D8" s="257">
        <f>'Bevétel 1.melléklet'!E9</f>
        <v>245316497</v>
      </c>
    </row>
    <row r="9" spans="2:6" ht="26.25" thickBot="1" x14ac:dyDescent="0.25">
      <c r="B9" s="47" t="s">
        <v>4</v>
      </c>
      <c r="C9" s="48" t="s">
        <v>146</v>
      </c>
      <c r="D9" s="257">
        <f>'Bevétel 1.melléklet'!E10+'Bevétel 1.melléklet'!B11</f>
        <v>75865535</v>
      </c>
    </row>
    <row r="10" spans="2:6" ht="13.5" thickBot="1" x14ac:dyDescent="0.25">
      <c r="B10" s="47" t="s">
        <v>7</v>
      </c>
      <c r="C10" s="48" t="s">
        <v>147</v>
      </c>
      <c r="D10" s="257">
        <f>'Bevétel 1.melléklet'!E12</f>
        <v>13144336</v>
      </c>
    </row>
    <row r="11" spans="2:6" ht="13.5" thickBot="1" x14ac:dyDescent="0.25">
      <c r="B11" s="47" t="s">
        <v>11</v>
      </c>
      <c r="C11" s="48" t="s">
        <v>148</v>
      </c>
      <c r="D11" s="257">
        <f>'Bevétel 1.melléklet'!B13</f>
        <v>48595113</v>
      </c>
    </row>
    <row r="12" spans="2:6" ht="13.5" thickBot="1" x14ac:dyDescent="0.25">
      <c r="B12" s="47" t="s">
        <v>5</v>
      </c>
      <c r="C12" s="48" t="s">
        <v>164</v>
      </c>
      <c r="D12" s="257">
        <f>'Bevétel 1.melléklet'!B14</f>
        <v>58710</v>
      </c>
    </row>
    <row r="13" spans="2:6" ht="26.25" thickBot="1" x14ac:dyDescent="0.25">
      <c r="B13" s="47" t="s">
        <v>12</v>
      </c>
      <c r="C13" s="276" t="s">
        <v>196</v>
      </c>
      <c r="D13" s="277"/>
    </row>
    <row r="14" spans="2:6" s="75" customFormat="1" ht="26.25" thickBot="1" x14ac:dyDescent="0.25">
      <c r="B14" s="47" t="s">
        <v>8</v>
      </c>
      <c r="C14" s="228" t="s">
        <v>149</v>
      </c>
      <c r="D14" s="277">
        <f>'Bevétel 1.melléklet'!E17</f>
        <v>529622081</v>
      </c>
    </row>
    <row r="15" spans="2:6" s="75" customFormat="1" ht="13.5" thickBot="1" x14ac:dyDescent="0.25">
      <c r="B15" s="47" t="s">
        <v>3</v>
      </c>
      <c r="C15" s="228" t="s">
        <v>182</v>
      </c>
      <c r="D15" s="258"/>
    </row>
    <row r="16" spans="2:6" s="75" customFormat="1" ht="13.5" thickBot="1" x14ac:dyDescent="0.25">
      <c r="B16" s="47" t="s">
        <v>9</v>
      </c>
      <c r="C16" s="228" t="s">
        <v>197</v>
      </c>
      <c r="D16" s="258"/>
    </row>
    <row r="17" spans="2:4" ht="26.25" thickBot="1" x14ac:dyDescent="0.25">
      <c r="B17" s="47" t="s">
        <v>25</v>
      </c>
      <c r="C17" s="263" t="s">
        <v>81</v>
      </c>
      <c r="D17" s="262">
        <f>SUM(D18:D19)</f>
        <v>201533856</v>
      </c>
    </row>
    <row r="18" spans="2:4" ht="13.5" thickBot="1" x14ac:dyDescent="0.25">
      <c r="B18" s="47" t="s">
        <v>15</v>
      </c>
      <c r="C18" s="261" t="s">
        <v>150</v>
      </c>
      <c r="D18" s="259">
        <f>'Bevétel 1.melléklet'!E19</f>
        <v>0</v>
      </c>
    </row>
    <row r="19" spans="2:4" ht="26.25" thickBot="1" x14ac:dyDescent="0.25">
      <c r="B19" s="47" t="s">
        <v>51</v>
      </c>
      <c r="C19" s="50" t="s">
        <v>151</v>
      </c>
      <c r="D19" s="259">
        <f>'Bevétel 1.melléklet'!E20</f>
        <v>201533856</v>
      </c>
    </row>
    <row r="20" spans="2:4" ht="13.5" thickBot="1" x14ac:dyDescent="0.25">
      <c r="B20" s="47" t="s">
        <v>49</v>
      </c>
      <c r="C20" s="77" t="s">
        <v>94</v>
      </c>
      <c r="D20" s="78">
        <f>D22+D23+D26+D27+D21</f>
        <v>150629512</v>
      </c>
    </row>
    <row r="21" spans="2:4" ht="13.5" thickBot="1" x14ac:dyDescent="0.25">
      <c r="B21" s="47"/>
      <c r="C21" s="334" t="s">
        <v>208</v>
      </c>
      <c r="D21" s="448"/>
    </row>
    <row r="22" spans="2:4" ht="13.5" thickBot="1" x14ac:dyDescent="0.25">
      <c r="B22" s="47" t="s">
        <v>52</v>
      </c>
      <c r="C22" s="354" t="s">
        <v>71</v>
      </c>
      <c r="D22" s="448">
        <f>'Bevétel 1.melléklet'!B23</f>
        <v>17240000</v>
      </c>
    </row>
    <row r="23" spans="2:4" s="75" customFormat="1" ht="13.5" thickBot="1" x14ac:dyDescent="0.25">
      <c r="B23" s="353" t="s">
        <v>53</v>
      </c>
      <c r="C23" s="357" t="s">
        <v>152</v>
      </c>
      <c r="D23" s="358">
        <f>SUM(D24:D25)</f>
        <v>120433512</v>
      </c>
    </row>
    <row r="24" spans="2:4" ht="13.5" thickBot="1" x14ac:dyDescent="0.25">
      <c r="B24" s="353" t="s">
        <v>54</v>
      </c>
      <c r="C24" s="91" t="s">
        <v>153</v>
      </c>
      <c r="D24" s="359">
        <f>'Bevétel 1.melléklet'!B25</f>
        <v>120433512</v>
      </c>
    </row>
    <row r="25" spans="2:4" ht="13.5" thickBot="1" x14ac:dyDescent="0.25">
      <c r="B25" s="353" t="s">
        <v>14</v>
      </c>
      <c r="C25" s="91" t="s">
        <v>154</v>
      </c>
      <c r="D25" s="359"/>
    </row>
    <row r="26" spans="2:4" ht="13.5" thickBot="1" x14ac:dyDescent="0.25">
      <c r="B26" s="353" t="s">
        <v>55</v>
      </c>
      <c r="C26" s="91" t="s">
        <v>155</v>
      </c>
      <c r="D26" s="360">
        <f>'Bevétel 1.melléklet'!B27</f>
        <v>12956000</v>
      </c>
    </row>
    <row r="27" spans="2:4" ht="13.5" thickBot="1" x14ac:dyDescent="0.25">
      <c r="B27" s="353" t="s">
        <v>56</v>
      </c>
      <c r="C27" s="91" t="s">
        <v>207</v>
      </c>
      <c r="D27" s="359"/>
    </row>
    <row r="28" spans="2:4" ht="13.5" thickBot="1" x14ac:dyDescent="0.25">
      <c r="B28" s="353" t="s">
        <v>57</v>
      </c>
      <c r="C28" s="361" t="s">
        <v>183</v>
      </c>
      <c r="D28" s="362"/>
    </row>
    <row r="29" spans="2:4" ht="13.5" thickBot="1" x14ac:dyDescent="0.25">
      <c r="B29" s="353" t="s">
        <v>63</v>
      </c>
      <c r="C29" s="355" t="s">
        <v>156</v>
      </c>
      <c r="D29" s="356">
        <f>'Bevétel 1.melléklet'!E28</f>
        <v>146237046</v>
      </c>
    </row>
    <row r="30" spans="2:4" s="67" customFormat="1" ht="13.5" thickBot="1" x14ac:dyDescent="0.25">
      <c r="B30" s="353" t="s">
        <v>64</v>
      </c>
      <c r="C30" s="229" t="s">
        <v>95</v>
      </c>
      <c r="D30" s="356">
        <f>'Bevétel 1.melléklet'!E29</f>
        <v>46659567</v>
      </c>
    </row>
    <row r="31" spans="2:4" s="67" customFormat="1" ht="13.5" thickBot="1" x14ac:dyDescent="0.25">
      <c r="B31" s="353" t="s">
        <v>65</v>
      </c>
      <c r="C31" s="230" t="s">
        <v>92</v>
      </c>
      <c r="D31" s="356">
        <f>'Bevétel 1.melléklet'!E30</f>
        <v>23955816</v>
      </c>
    </row>
    <row r="32" spans="2:4" s="67" customFormat="1" ht="13.5" thickBot="1" x14ac:dyDescent="0.25">
      <c r="B32" s="353" t="s">
        <v>174</v>
      </c>
      <c r="C32" s="231" t="s">
        <v>83</v>
      </c>
      <c r="D32" s="356">
        <f>SUM(D33:D34)</f>
        <v>150000</v>
      </c>
    </row>
    <row r="33" spans="2:6" s="173" customFormat="1" ht="26.25" thickBot="1" x14ac:dyDescent="0.25">
      <c r="B33" s="353" t="s">
        <v>175</v>
      </c>
      <c r="C33" s="224" t="s">
        <v>191</v>
      </c>
      <c r="D33" s="260"/>
    </row>
    <row r="34" spans="2:6" s="173" customFormat="1" ht="13.5" thickBot="1" x14ac:dyDescent="0.25">
      <c r="B34" s="353" t="s">
        <v>176</v>
      </c>
      <c r="C34" s="225" t="s">
        <v>192</v>
      </c>
      <c r="D34" s="226">
        <f>'Bevétel 1.melléklet'!E33</f>
        <v>150000</v>
      </c>
    </row>
    <row r="35" spans="2:6" ht="13.5" thickBot="1" x14ac:dyDescent="0.25">
      <c r="B35" s="731" t="s">
        <v>69</v>
      </c>
      <c r="C35" s="732"/>
      <c r="D35" s="232">
        <f>D6+D17+D20+D29+D30+D31+D32</f>
        <v>1481768069</v>
      </c>
      <c r="F35" s="89"/>
    </row>
    <row r="36" spans="2:6" ht="13.5" thickBot="1" x14ac:dyDescent="0.25">
      <c r="B36" s="52" t="s">
        <v>177</v>
      </c>
      <c r="C36" s="52" t="s">
        <v>90</v>
      </c>
      <c r="D36" s="135">
        <f>D37+D38+D39+D40</f>
        <v>440616173</v>
      </c>
    </row>
    <row r="37" spans="2:6" ht="13.5" thickBot="1" x14ac:dyDescent="0.25">
      <c r="B37" s="52" t="s">
        <v>178</v>
      </c>
      <c r="C37" s="136" t="s">
        <v>157</v>
      </c>
      <c r="D37" s="226">
        <f>'Bevétel 1.melléklet'!E38</f>
        <v>0</v>
      </c>
      <c r="F37" s="89"/>
    </row>
    <row r="38" spans="2:6" ht="24.75" customHeight="1" thickBot="1" x14ac:dyDescent="0.25">
      <c r="B38" s="52" t="s">
        <v>179</v>
      </c>
      <c r="C38" s="136" t="s">
        <v>86</v>
      </c>
      <c r="D38" s="260">
        <f>'Bevétel 1.melléklet'!E41</f>
        <v>175046275</v>
      </c>
      <c r="F38" s="331"/>
    </row>
    <row r="39" spans="2:6" ht="13.5" thickBot="1" x14ac:dyDescent="0.25">
      <c r="B39" s="52" t="s">
        <v>180</v>
      </c>
      <c r="C39" s="136" t="s">
        <v>184</v>
      </c>
      <c r="D39" s="260">
        <f>'Bevétel 1.melléklet'!E45</f>
        <v>13032816</v>
      </c>
      <c r="F39" s="128"/>
    </row>
    <row r="40" spans="2:6" ht="13.5" thickBot="1" x14ac:dyDescent="0.25">
      <c r="B40" s="52" t="s">
        <v>181</v>
      </c>
      <c r="C40" s="136" t="s">
        <v>306</v>
      </c>
      <c r="D40" s="260">
        <f>'Bevétel 1.melléklet'!E46</f>
        <v>252537082</v>
      </c>
    </row>
    <row r="41" spans="2:6" x14ac:dyDescent="0.2">
      <c r="B41" s="81"/>
      <c r="C41" s="80"/>
    </row>
    <row r="42" spans="2:6" ht="12.75" customHeight="1" x14ac:dyDescent="0.2">
      <c r="B42" s="733" t="s">
        <v>45</v>
      </c>
      <c r="C42" s="733"/>
    </row>
    <row r="43" spans="2:6" ht="13.5" customHeight="1" thickBot="1" x14ac:dyDescent="0.25">
      <c r="B43" s="53"/>
      <c r="C43" s="53"/>
    </row>
    <row r="44" spans="2:6" ht="26.25" thickBot="1" x14ac:dyDescent="0.25">
      <c r="B44" s="44" t="s">
        <v>46</v>
      </c>
      <c r="C44" s="45" t="s">
        <v>47</v>
      </c>
      <c r="D44" s="46" t="s">
        <v>392</v>
      </c>
    </row>
    <row r="45" spans="2:6" ht="13.5" thickBot="1" x14ac:dyDescent="0.25">
      <c r="B45" s="44">
        <v>1</v>
      </c>
      <c r="C45" s="45">
        <v>2</v>
      </c>
      <c r="D45" s="46">
        <v>5</v>
      </c>
    </row>
    <row r="46" spans="2:6" ht="13.5" thickBot="1" x14ac:dyDescent="0.25">
      <c r="B46" s="47" t="s">
        <v>2</v>
      </c>
      <c r="C46" s="54" t="s">
        <v>158</v>
      </c>
      <c r="D46" s="74">
        <f>D47+D48</f>
        <v>741831625</v>
      </c>
      <c r="E46" s="66"/>
      <c r="F46" s="66"/>
    </row>
    <row r="47" spans="2:6" ht="13.5" thickBot="1" x14ac:dyDescent="0.25">
      <c r="B47" s="47" t="s">
        <v>6</v>
      </c>
      <c r="C47" s="51" t="s">
        <v>138</v>
      </c>
      <c r="D47" s="238">
        <f>'Működési kiadások 18.'!F8</f>
        <v>674328595</v>
      </c>
      <c r="E47" s="66"/>
      <c r="F47" s="66"/>
    </row>
    <row r="48" spans="2:6" ht="13.5" thickBot="1" x14ac:dyDescent="0.25">
      <c r="B48" s="47" t="s">
        <v>10</v>
      </c>
      <c r="C48" s="55" t="s">
        <v>139</v>
      </c>
      <c r="D48" s="239">
        <f>'Működési kiadások 18.'!F10</f>
        <v>67503030</v>
      </c>
      <c r="E48" s="66"/>
      <c r="F48" s="66"/>
    </row>
    <row r="49" spans="1:7" s="67" customFormat="1" ht="26.25" thickBot="1" x14ac:dyDescent="0.25">
      <c r="B49" s="47" t="s">
        <v>4</v>
      </c>
      <c r="C49" s="233" t="s">
        <v>129</v>
      </c>
      <c r="D49" s="240">
        <f>'Működési kiadások 18.'!F12</f>
        <v>70754298</v>
      </c>
      <c r="E49" s="345"/>
      <c r="F49" s="345"/>
    </row>
    <row r="50" spans="1:7" s="67" customFormat="1" ht="13.5" thickBot="1" x14ac:dyDescent="0.25">
      <c r="B50" s="47" t="s">
        <v>7</v>
      </c>
      <c r="C50" s="234" t="s">
        <v>113</v>
      </c>
      <c r="D50" s="240">
        <f>'Működési kiadások 18.'!F13</f>
        <v>308611496</v>
      </c>
      <c r="E50" s="345"/>
      <c r="F50" s="345"/>
    </row>
    <row r="51" spans="1:7" s="67" customFormat="1" ht="13.5" thickBot="1" x14ac:dyDescent="0.25">
      <c r="B51" s="47" t="s">
        <v>11</v>
      </c>
      <c r="C51" s="234" t="s">
        <v>159</v>
      </c>
      <c r="D51" s="240">
        <f>'Kiadások 10. m.'!E12</f>
        <v>19763000</v>
      </c>
      <c r="E51" s="345"/>
      <c r="F51" s="346"/>
    </row>
    <row r="52" spans="1:7" s="67" customFormat="1" ht="13.5" thickBot="1" x14ac:dyDescent="0.25">
      <c r="B52" s="47" t="s">
        <v>5</v>
      </c>
      <c r="C52" s="235" t="s">
        <v>163</v>
      </c>
      <c r="D52" s="342">
        <f>'Működési kiadások 18.'!C15-D54</f>
        <v>73688053</v>
      </c>
      <c r="E52" s="345"/>
      <c r="F52" s="346"/>
    </row>
    <row r="53" spans="1:7" s="173" customFormat="1" ht="13.5" thickBot="1" x14ac:dyDescent="0.25">
      <c r="A53" s="76"/>
      <c r="B53" s="47" t="s">
        <v>12</v>
      </c>
      <c r="C53" s="343" t="s">
        <v>209</v>
      </c>
      <c r="D53" s="344">
        <f>SUM(D54:D54)</f>
        <v>26655754</v>
      </c>
      <c r="E53" s="347"/>
      <c r="F53" s="346"/>
    </row>
    <row r="54" spans="1:7" ht="13.5" thickBot="1" x14ac:dyDescent="0.25">
      <c r="B54" s="47" t="s">
        <v>8</v>
      </c>
      <c r="C54" s="237" t="s">
        <v>209</v>
      </c>
      <c r="D54" s="241">
        <f>'Működési kiadások 18.'!C28</f>
        <v>26655754</v>
      </c>
      <c r="E54" s="66"/>
      <c r="F54" s="346"/>
    </row>
    <row r="55" spans="1:7" s="67" customFormat="1" ht="13.5" thickBot="1" x14ac:dyDescent="0.25">
      <c r="B55" s="47" t="s">
        <v>3</v>
      </c>
      <c r="C55" s="236" t="s">
        <v>160</v>
      </c>
      <c r="D55" s="242">
        <f>'Kiadások 10. m.'!E20</f>
        <v>360227863</v>
      </c>
      <c r="E55" s="345"/>
      <c r="F55" s="346"/>
    </row>
    <row r="56" spans="1:7" s="67" customFormat="1" ht="13.5" thickBot="1" x14ac:dyDescent="0.25">
      <c r="B56" s="47" t="s">
        <v>9</v>
      </c>
      <c r="C56" s="234" t="s">
        <v>161</v>
      </c>
      <c r="D56" s="242">
        <f>'Kiadások 10. m.'!E21</f>
        <v>3178892</v>
      </c>
      <c r="E56" s="345"/>
      <c r="F56" s="346"/>
    </row>
    <row r="57" spans="1:7" s="67" customFormat="1" ht="13.5" thickBot="1" x14ac:dyDescent="0.25">
      <c r="B57" s="47" t="s">
        <v>25</v>
      </c>
      <c r="C57" s="234" t="s">
        <v>117</v>
      </c>
      <c r="D57" s="242">
        <f>'Kiadások 10. m.'!E22</f>
        <v>0</v>
      </c>
      <c r="E57" s="345"/>
      <c r="F57" s="346"/>
    </row>
    <row r="58" spans="1:7" ht="13.5" thickBot="1" x14ac:dyDescent="0.25">
      <c r="B58" s="47" t="s">
        <v>15</v>
      </c>
      <c r="C58" s="56" t="s">
        <v>125</v>
      </c>
      <c r="D58" s="73">
        <f>D59+D62</f>
        <v>317673261</v>
      </c>
      <c r="E58" s="66"/>
      <c r="F58" s="346"/>
    </row>
    <row r="59" spans="1:7" ht="13.5" thickBot="1" x14ac:dyDescent="0.25">
      <c r="B59" s="47" t="s">
        <v>48</v>
      </c>
      <c r="C59" s="49" t="s">
        <v>120</v>
      </c>
      <c r="D59" s="155">
        <f>SUM(D60:D61)</f>
        <v>265569898</v>
      </c>
      <c r="E59" s="66"/>
      <c r="F59" s="346"/>
    </row>
    <row r="60" spans="1:7" ht="13.5" thickBot="1" x14ac:dyDescent="0.25">
      <c r="B60" s="47" t="s">
        <v>51</v>
      </c>
      <c r="C60" s="419" t="s">
        <v>210</v>
      </c>
      <c r="D60" s="155">
        <f>'Működési kiadások 18.'!C31</f>
        <v>13032816</v>
      </c>
      <c r="E60" s="66"/>
      <c r="F60" s="346"/>
    </row>
    <row r="61" spans="1:7" ht="13.5" thickBot="1" x14ac:dyDescent="0.25">
      <c r="B61" s="47" t="s">
        <v>49</v>
      </c>
      <c r="C61" s="419" t="s">
        <v>224</v>
      </c>
      <c r="D61" s="155">
        <f>'Kiadások 10. m.'!E17</f>
        <v>252537082</v>
      </c>
      <c r="E61" s="66"/>
      <c r="F61" s="348"/>
    </row>
    <row r="62" spans="1:7" ht="13.5" thickBot="1" x14ac:dyDescent="0.25">
      <c r="B62" s="47" t="s">
        <v>50</v>
      </c>
      <c r="C62" s="48" t="s">
        <v>121</v>
      </c>
      <c r="D62" s="241">
        <f>'Kiadások 10. m.'!E23</f>
        <v>52103363</v>
      </c>
      <c r="E62" s="66"/>
      <c r="F62" s="348"/>
    </row>
    <row r="63" spans="1:7" ht="14.25" customHeight="1" thickBot="1" x14ac:dyDescent="0.25">
      <c r="B63" s="47" t="s">
        <v>52</v>
      </c>
      <c r="C63" s="418" t="s">
        <v>162</v>
      </c>
      <c r="D63" s="243">
        <f>D46+D49+D50+D51+D52+D55+D56+D57+D58+D53</f>
        <v>1922384242</v>
      </c>
      <c r="E63" s="66"/>
      <c r="F63" s="348"/>
    </row>
    <row r="64" spans="1:7" ht="15" customHeight="1" thickBot="1" x14ac:dyDescent="0.25">
      <c r="B64" s="734" t="s">
        <v>258</v>
      </c>
      <c r="C64" s="735"/>
      <c r="D64" s="240">
        <f>D63</f>
        <v>1922384242</v>
      </c>
      <c r="F64" s="331"/>
      <c r="G64" s="89"/>
    </row>
    <row r="65" spans="2:7" ht="13.5" thickBot="1" x14ac:dyDescent="0.25">
      <c r="B65" s="734" t="s">
        <v>259</v>
      </c>
      <c r="C65" s="735"/>
      <c r="D65" s="240">
        <f>D35+D36</f>
        <v>1922384242</v>
      </c>
      <c r="F65" s="331"/>
      <c r="G65" s="89"/>
    </row>
    <row r="68" spans="2:7" x14ac:dyDescent="0.2">
      <c r="D68" s="385"/>
    </row>
    <row r="69" spans="2:7" x14ac:dyDescent="0.2">
      <c r="D69" s="89"/>
    </row>
  </sheetData>
  <mergeCells count="5">
    <mergeCell ref="B1:E1"/>
    <mergeCell ref="B35:C35"/>
    <mergeCell ref="B42:C42"/>
    <mergeCell ref="B64:C64"/>
    <mergeCell ref="B65:C65"/>
  </mergeCells>
  <pageMargins left="0.78740157480314965" right="0.78740157480314965" top="0.39370078740157483" bottom="0.39370078740157483" header="0" footer="0"/>
  <pageSetup paperSize="9" scale="79" orientation="portrait" r:id="rId1"/>
  <headerFooter alignWithMargins="0">
    <oddHeader>&amp;R20.sz. melléklet
..../2025. (VIII.28.) Egyek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45"/>
  <sheetViews>
    <sheetView view="pageLayout" zoomScale="80" zoomScaleNormal="120" zoomScalePageLayoutView="80" workbookViewId="0">
      <selection activeCell="F9" sqref="F9"/>
    </sheetView>
  </sheetViews>
  <sheetFormatPr defaultRowHeight="12.75" x14ac:dyDescent="0.2"/>
  <cols>
    <col min="1" max="1" width="33.140625" customWidth="1"/>
    <col min="2" max="2" width="13.7109375" customWidth="1"/>
    <col min="3" max="3" width="15.42578125" customWidth="1"/>
    <col min="4" max="4" width="13.5703125" customWidth="1"/>
    <col min="5" max="5" width="13.140625" customWidth="1"/>
    <col min="6" max="7" width="15.5703125" bestFit="1" customWidth="1"/>
    <col min="8" max="8" width="14.28515625" customWidth="1"/>
    <col min="9" max="9" width="13.85546875" customWidth="1"/>
    <col min="10" max="10" width="11.85546875" customWidth="1"/>
    <col min="11" max="11" width="15.5703125" bestFit="1" customWidth="1"/>
    <col min="12" max="12" width="13.85546875" customWidth="1"/>
    <col min="13" max="13" width="11.140625" customWidth="1"/>
    <col min="14" max="14" width="12" customWidth="1"/>
    <col min="15" max="15" width="11.7109375" customWidth="1"/>
    <col min="17" max="18" width="16.28515625" bestFit="1" customWidth="1"/>
  </cols>
  <sheetData>
    <row r="3" spans="1:17" ht="18" x14ac:dyDescent="0.25">
      <c r="A3" s="736" t="s">
        <v>387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</row>
    <row r="4" spans="1:17" ht="18" x14ac:dyDescent="0.25">
      <c r="A4" s="449"/>
      <c r="B4" s="468"/>
      <c r="C4" s="449"/>
      <c r="D4" s="449"/>
      <c r="E4" s="449"/>
      <c r="F4" s="449"/>
      <c r="G4" s="449"/>
      <c r="H4" s="449"/>
      <c r="I4" s="449"/>
      <c r="J4" s="449"/>
      <c r="K4" s="449"/>
      <c r="L4" s="469"/>
      <c r="M4" s="449"/>
      <c r="N4" s="449"/>
      <c r="O4" s="449"/>
    </row>
    <row r="5" spans="1:17" ht="18" x14ac:dyDescent="0.25">
      <c r="A5" s="449"/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</row>
    <row r="6" spans="1:17" ht="18" x14ac:dyDescent="0.25">
      <c r="A6" s="449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7" x14ac:dyDescent="0.2">
      <c r="A7" s="34"/>
      <c r="B7" s="36" t="s">
        <v>37</v>
      </c>
      <c r="C7" s="36" t="s">
        <v>278</v>
      </c>
      <c r="D7" s="36" t="s">
        <v>279</v>
      </c>
      <c r="E7" s="36" t="s">
        <v>280</v>
      </c>
      <c r="F7" s="36" t="s">
        <v>281</v>
      </c>
      <c r="G7" s="36" t="s">
        <v>282</v>
      </c>
      <c r="H7" s="36" t="s">
        <v>283</v>
      </c>
      <c r="I7" s="36" t="s">
        <v>284</v>
      </c>
      <c r="J7" s="36" t="s">
        <v>285</v>
      </c>
      <c r="K7" s="36" t="s">
        <v>286</v>
      </c>
      <c r="L7" s="36" t="s">
        <v>287</v>
      </c>
      <c r="M7" s="36" t="s">
        <v>288</v>
      </c>
      <c r="N7" s="36" t="s">
        <v>289</v>
      </c>
      <c r="O7" s="36" t="s">
        <v>24</v>
      </c>
    </row>
    <row r="8" spans="1:17" x14ac:dyDescent="0.2">
      <c r="A8" s="35" t="s">
        <v>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7" ht="35.25" customHeight="1" x14ac:dyDescent="0.2">
      <c r="A9" s="37" t="s">
        <v>38</v>
      </c>
      <c r="B9" s="450"/>
      <c r="C9" s="450"/>
      <c r="D9" s="450"/>
      <c r="E9" s="450"/>
      <c r="F9" s="450"/>
      <c r="G9" s="450"/>
      <c r="H9" s="450"/>
      <c r="I9" s="450"/>
      <c r="J9" s="450"/>
      <c r="K9" s="450"/>
      <c r="L9" s="450"/>
      <c r="M9" s="450"/>
      <c r="N9" s="450"/>
      <c r="O9" s="450"/>
    </row>
    <row r="10" spans="1:17" ht="29.25" customHeight="1" x14ac:dyDescent="0.2">
      <c r="A10" s="87" t="s">
        <v>77</v>
      </c>
      <c r="B10" s="38">
        <f>'Mérleg 20. m.'!D6</f>
        <v>912602272</v>
      </c>
      <c r="C10" s="38">
        <v>62872000</v>
      </c>
      <c r="D10" s="38">
        <v>62872000</v>
      </c>
      <c r="E10" s="38">
        <f>62872000+144641</f>
        <v>63016641</v>
      </c>
      <c r="F10" s="38">
        <f t="shared" ref="F10:G10" si="0">62872000+144641</f>
        <v>63016641</v>
      </c>
      <c r="G10" s="38">
        <f t="shared" si="0"/>
        <v>63016641</v>
      </c>
      <c r="H10" s="38">
        <f>62872000+144641+17386000</f>
        <v>80402641</v>
      </c>
      <c r="I10" s="38">
        <f>62872000+144641+17386000</f>
        <v>80402641</v>
      </c>
      <c r="J10" s="38">
        <f>62872000+144641+17386000</f>
        <v>80402641</v>
      </c>
      <c r="K10" s="38">
        <f>62872000+144641+52370823+17386000</f>
        <v>132773464</v>
      </c>
      <c r="L10" s="38">
        <f>62872000+144641+17386000</f>
        <v>80402641</v>
      </c>
      <c r="M10" s="38">
        <f>62872000+144641+17386000</f>
        <v>80402641</v>
      </c>
      <c r="N10" s="38">
        <f>62875396+144649+1635</f>
        <v>63021680</v>
      </c>
      <c r="O10" s="38">
        <f>SUM(C10:N10)</f>
        <v>912602272</v>
      </c>
      <c r="Q10" s="331"/>
    </row>
    <row r="11" spans="1:17" ht="48" customHeight="1" x14ac:dyDescent="0.2">
      <c r="A11" s="87" t="s">
        <v>81</v>
      </c>
      <c r="B11" s="38">
        <f>'Mérleg 20. m.'!D17</f>
        <v>201533856</v>
      </c>
      <c r="C11" s="38"/>
      <c r="D11" s="38"/>
      <c r="E11" s="38"/>
      <c r="F11" s="38">
        <v>200883155</v>
      </c>
      <c r="G11" s="38"/>
      <c r="H11" s="38"/>
      <c r="I11" s="38"/>
      <c r="J11" s="38"/>
      <c r="K11" s="38"/>
      <c r="L11" s="38"/>
      <c r="M11" s="38">
        <v>650701</v>
      </c>
      <c r="N11" s="38"/>
      <c r="O11" s="38">
        <f t="shared" ref="O11:O17" si="1">SUM(C11:N11)</f>
        <v>201533856</v>
      </c>
    </row>
    <row r="12" spans="1:17" x14ac:dyDescent="0.2">
      <c r="A12" s="87" t="s">
        <v>94</v>
      </c>
      <c r="B12" s="38">
        <f>'Mérleg 20. m.'!D20</f>
        <v>150629512</v>
      </c>
      <c r="C12" s="38"/>
      <c r="D12" s="38"/>
      <c r="E12" s="38">
        <v>67960500</v>
      </c>
      <c r="F12" s="38"/>
      <c r="G12" s="38"/>
      <c r="H12" s="38"/>
      <c r="I12" s="38">
        <f>14708512/6</f>
        <v>2451418.6666666665</v>
      </c>
      <c r="J12" s="38">
        <v>2451419</v>
      </c>
      <c r="K12" s="38">
        <f>67960500+2451419</f>
        <v>70411919</v>
      </c>
      <c r="L12" s="38">
        <v>2451419</v>
      </c>
      <c r="M12" s="38">
        <v>2451419</v>
      </c>
      <c r="N12" s="38">
        <v>2451417</v>
      </c>
      <c r="O12" s="38">
        <f t="shared" si="1"/>
        <v>150629511.66666669</v>
      </c>
    </row>
    <row r="13" spans="1:17" x14ac:dyDescent="0.2">
      <c r="A13" s="37" t="s">
        <v>75</v>
      </c>
      <c r="B13" s="38">
        <f>'Mérleg 20. m.'!D29</f>
        <v>146237046</v>
      </c>
      <c r="C13" s="38">
        <v>11984000</v>
      </c>
      <c r="D13" s="38">
        <v>11984000</v>
      </c>
      <c r="E13" s="38">
        <v>11984000</v>
      </c>
      <c r="F13" s="38">
        <v>11984000</v>
      </c>
      <c r="G13" s="38">
        <v>11984000</v>
      </c>
      <c r="H13" s="38">
        <v>11984000</v>
      </c>
      <c r="I13" s="38">
        <v>11984000</v>
      </c>
      <c r="J13" s="38">
        <v>11984000</v>
      </c>
      <c r="K13" s="38">
        <v>11984000</v>
      </c>
      <c r="L13" s="38">
        <v>11984000</v>
      </c>
      <c r="M13" s="38">
        <v>11984000</v>
      </c>
      <c r="N13" s="38">
        <f>11988000+2425046</f>
        <v>14413046</v>
      </c>
      <c r="O13" s="38">
        <f t="shared" si="1"/>
        <v>146237046</v>
      </c>
    </row>
    <row r="14" spans="1:17" ht="40.5" customHeight="1" x14ac:dyDescent="0.2">
      <c r="A14" s="37" t="s">
        <v>95</v>
      </c>
      <c r="B14" s="38">
        <f>'Mérleg 20. m.'!D30</f>
        <v>46659567</v>
      </c>
      <c r="C14" s="38"/>
      <c r="D14" s="38"/>
      <c r="E14" s="38">
        <v>500000</v>
      </c>
      <c r="F14" s="38">
        <v>1539000</v>
      </c>
      <c r="G14" s="38">
        <v>9000000</v>
      </c>
      <c r="H14" s="38"/>
      <c r="I14" s="38">
        <v>25000000</v>
      </c>
      <c r="J14" s="38"/>
      <c r="K14" s="38"/>
      <c r="L14" s="38">
        <v>10620567</v>
      </c>
      <c r="M14" s="38"/>
      <c r="N14" s="38"/>
      <c r="O14" s="38">
        <f>SUM(C14:N14)</f>
        <v>46659567</v>
      </c>
      <c r="P14" s="94"/>
    </row>
    <row r="15" spans="1:17" ht="56.25" customHeight="1" x14ac:dyDescent="0.2">
      <c r="A15" s="87" t="s">
        <v>92</v>
      </c>
      <c r="B15" s="38">
        <f>'Mérleg 20. m.'!D31</f>
        <v>23955816</v>
      </c>
      <c r="C15" s="38">
        <v>300000</v>
      </c>
      <c r="D15" s="38">
        <v>300000</v>
      </c>
      <c r="E15" s="38">
        <v>300000</v>
      </c>
      <c r="F15" s="38">
        <v>300000</v>
      </c>
      <c r="G15" s="38">
        <v>300000</v>
      </c>
      <c r="H15" s="38">
        <v>300000</v>
      </c>
      <c r="I15" s="38">
        <v>300000</v>
      </c>
      <c r="J15" s="38">
        <v>300000</v>
      </c>
      <c r="K15" s="38">
        <v>18755816</v>
      </c>
      <c r="L15" s="38">
        <v>300000</v>
      </c>
      <c r="M15" s="38">
        <v>300000</v>
      </c>
      <c r="N15" s="38">
        <v>2200000</v>
      </c>
      <c r="O15" s="38">
        <f t="shared" si="1"/>
        <v>23955816</v>
      </c>
    </row>
    <row r="16" spans="1:17" ht="20.25" customHeight="1" x14ac:dyDescent="0.2">
      <c r="A16" s="87" t="s">
        <v>83</v>
      </c>
      <c r="B16" s="38">
        <f>'Mérleg 20. m.'!D32</f>
        <v>150000</v>
      </c>
      <c r="C16" s="38"/>
      <c r="D16" s="38"/>
      <c r="E16" s="38"/>
      <c r="F16" s="38"/>
      <c r="G16" s="38"/>
      <c r="H16" s="38"/>
      <c r="I16" s="38"/>
      <c r="J16" s="38">
        <v>150000</v>
      </c>
      <c r="K16" s="38"/>
      <c r="L16" s="38"/>
      <c r="M16" s="38"/>
      <c r="N16" s="38"/>
      <c r="O16" s="38">
        <f t="shared" si="1"/>
        <v>150000</v>
      </c>
      <c r="P16" s="94"/>
    </row>
    <row r="17" spans="1:18" x14ac:dyDescent="0.2">
      <c r="A17" s="87" t="s">
        <v>90</v>
      </c>
      <c r="B17" s="38">
        <f>'Mérleg 20. m.'!D36</f>
        <v>440616173</v>
      </c>
      <c r="C17" s="38">
        <f>50363000/2+532925+20434674</f>
        <v>46149099</v>
      </c>
      <c r="D17" s="38">
        <f>25181613+2131000+20434674</f>
        <v>47747287</v>
      </c>
      <c r="E17" s="38">
        <f>1528000+30285344+17727864+20434674</f>
        <v>69975882</v>
      </c>
      <c r="F17" s="38">
        <v>20434674</v>
      </c>
      <c r="G17" s="38">
        <v>20434674</v>
      </c>
      <c r="H17" s="38">
        <f>20434674+1346000</f>
        <v>21780674</v>
      </c>
      <c r="I17" s="38">
        <f>20434674+1346000</f>
        <v>21780674</v>
      </c>
      <c r="J17" s="38">
        <f>12505065+20434676+1346000</f>
        <v>34285741</v>
      </c>
      <c r="K17" s="38">
        <f>12724215+20434674+1346000</f>
        <v>34504889</v>
      </c>
      <c r="L17" s="38">
        <f>59522822+20434674+1346000</f>
        <v>81303496</v>
      </c>
      <c r="M17" s="38">
        <f>20434674+1346000</f>
        <v>21780674</v>
      </c>
      <c r="N17" s="38">
        <f>20434674+3735</f>
        <v>20438409</v>
      </c>
      <c r="O17" s="38">
        <f t="shared" si="1"/>
        <v>440616173</v>
      </c>
      <c r="Q17" s="331"/>
    </row>
    <row r="18" spans="1:18" x14ac:dyDescent="0.2">
      <c r="A18" s="42" t="s">
        <v>39</v>
      </c>
      <c r="B18" s="43">
        <f>SUM(B10:B17)</f>
        <v>1922384242</v>
      </c>
      <c r="C18" s="43">
        <f>SUM(C10:C17)</f>
        <v>121305099</v>
      </c>
      <c r="D18" s="43">
        <f t="shared" ref="D18:N18" si="2">SUM(D10:D17)</f>
        <v>122903287</v>
      </c>
      <c r="E18" s="43">
        <f t="shared" si="2"/>
        <v>213737023</v>
      </c>
      <c r="F18" s="43">
        <f t="shared" si="2"/>
        <v>298157470</v>
      </c>
      <c r="G18" s="43">
        <f t="shared" si="2"/>
        <v>104735315</v>
      </c>
      <c r="H18" s="43">
        <f t="shared" si="2"/>
        <v>114467315</v>
      </c>
      <c r="I18" s="43">
        <f t="shared" si="2"/>
        <v>141918733.66666669</v>
      </c>
      <c r="J18" s="43">
        <f t="shared" si="2"/>
        <v>129573801</v>
      </c>
      <c r="K18" s="43">
        <f t="shared" si="2"/>
        <v>268430088</v>
      </c>
      <c r="L18" s="43">
        <f t="shared" si="2"/>
        <v>187062123</v>
      </c>
      <c r="M18" s="43">
        <f t="shared" si="2"/>
        <v>117569435</v>
      </c>
      <c r="N18" s="43">
        <f t="shared" si="2"/>
        <v>102524552</v>
      </c>
      <c r="O18" s="43">
        <f>SUM(O10:O17)</f>
        <v>1922384241.6666667</v>
      </c>
    </row>
    <row r="19" spans="1:18" x14ac:dyDescent="0.2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1:18" x14ac:dyDescent="0.2">
      <c r="A20" s="39"/>
      <c r="B20" s="36" t="s">
        <v>37</v>
      </c>
      <c r="C20" s="36" t="s">
        <v>278</v>
      </c>
      <c r="D20" s="36" t="s">
        <v>279</v>
      </c>
      <c r="E20" s="36" t="s">
        <v>280</v>
      </c>
      <c r="F20" s="36" t="s">
        <v>281</v>
      </c>
      <c r="G20" s="36" t="s">
        <v>282</v>
      </c>
      <c r="H20" s="36" t="s">
        <v>283</v>
      </c>
      <c r="I20" s="36" t="s">
        <v>284</v>
      </c>
      <c r="J20" s="36" t="s">
        <v>285</v>
      </c>
      <c r="K20" s="36" t="s">
        <v>286</v>
      </c>
      <c r="L20" s="36" t="s">
        <v>287</v>
      </c>
      <c r="M20" s="36" t="s">
        <v>288</v>
      </c>
      <c r="N20" s="36" t="s">
        <v>289</v>
      </c>
      <c r="O20" s="36" t="s">
        <v>24</v>
      </c>
    </row>
    <row r="21" spans="1:18" x14ac:dyDescent="0.2">
      <c r="A21" s="35" t="s">
        <v>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8" x14ac:dyDescent="0.2">
      <c r="A22" s="37" t="s">
        <v>40</v>
      </c>
    </row>
    <row r="23" spans="1:18" ht="30.75" customHeight="1" x14ac:dyDescent="0.2">
      <c r="A23" s="37" t="s">
        <v>111</v>
      </c>
      <c r="B23" s="38">
        <f>'Működési kiadások 18.'!F7</f>
        <v>741831625</v>
      </c>
      <c r="C23" s="38">
        <f>B23/12</f>
        <v>61819302.083333336</v>
      </c>
      <c r="D23" s="38">
        <f>B23/12</f>
        <v>61819302.083333336</v>
      </c>
      <c r="E23" s="38">
        <v>42934996</v>
      </c>
      <c r="F23" s="38">
        <v>42934996</v>
      </c>
      <c r="G23" s="38">
        <v>42934996</v>
      </c>
      <c r="H23" s="38">
        <v>42934996</v>
      </c>
      <c r="I23" s="38">
        <v>42934996</v>
      </c>
      <c r="J23" s="38">
        <v>42934966</v>
      </c>
      <c r="K23" s="38">
        <v>42934966</v>
      </c>
      <c r="L23" s="38">
        <v>42934966</v>
      </c>
      <c r="M23" s="38">
        <v>42934966</v>
      </c>
      <c r="N23" s="38">
        <f>B23-C23-D23-E23-F23-G23-H23-I23-J23-K23-L23-M23</f>
        <v>231778176.83333325</v>
      </c>
      <c r="O23" s="38">
        <f t="shared" ref="O23:O33" si="3">SUM(C23:N23)</f>
        <v>741831625</v>
      </c>
      <c r="Q23" s="2"/>
    </row>
    <row r="24" spans="1:18" ht="22.5" x14ac:dyDescent="0.2">
      <c r="A24" s="87" t="s">
        <v>129</v>
      </c>
      <c r="B24" s="38">
        <f>'Működési kiadások 18.'!F12</f>
        <v>70754298</v>
      </c>
      <c r="C24" s="38">
        <v>3966321</v>
      </c>
      <c r="D24" s="38">
        <v>3966321</v>
      </c>
      <c r="E24" s="38">
        <v>3966321</v>
      </c>
      <c r="F24" s="38">
        <v>3966321</v>
      </c>
      <c r="G24" s="38">
        <v>3966321</v>
      </c>
      <c r="H24" s="38">
        <v>3966321</v>
      </c>
      <c r="I24" s="38">
        <v>3966321</v>
      </c>
      <c r="J24" s="38">
        <v>3966321</v>
      </c>
      <c r="K24" s="38">
        <v>3966321</v>
      </c>
      <c r="L24" s="38">
        <v>3966321</v>
      </c>
      <c r="M24" s="38">
        <v>3966321</v>
      </c>
      <c r="N24" s="38">
        <f>B24-C24-D24-E24-F24-G24-H24-I24-J24-K24-L24-M24</f>
        <v>27124767</v>
      </c>
      <c r="O24" s="38">
        <f t="shared" si="3"/>
        <v>70754298</v>
      </c>
      <c r="Q24" s="2"/>
    </row>
    <row r="25" spans="1:18" ht="18" customHeight="1" x14ac:dyDescent="0.2">
      <c r="A25" s="37" t="s">
        <v>113</v>
      </c>
      <c r="B25" s="65">
        <f>'Működési kiadások 18.'!F13</f>
        <v>308611496</v>
      </c>
      <c r="C25" s="38">
        <f>276127736/12</f>
        <v>23010644.666666668</v>
      </c>
      <c r="D25" s="38">
        <f>276127736/12</f>
        <v>23010644.666666668</v>
      </c>
      <c r="E25" s="38">
        <f>276127736/12</f>
        <v>23010644.666666668</v>
      </c>
      <c r="F25" s="38">
        <f>276127736/12</f>
        <v>23010644.666666668</v>
      </c>
      <c r="G25" s="38">
        <f>276127736/12</f>
        <v>23010644.666666668</v>
      </c>
      <c r="H25" s="38">
        <f t="shared" ref="H25:M25" si="4">276127736/12</f>
        <v>23010644.666666668</v>
      </c>
      <c r="I25" s="38">
        <f t="shared" si="4"/>
        <v>23010644.666666668</v>
      </c>
      <c r="J25" s="38">
        <f t="shared" si="4"/>
        <v>23010644.666666668</v>
      </c>
      <c r="K25" s="38">
        <f t="shared" si="4"/>
        <v>23010644.666666668</v>
      </c>
      <c r="L25" s="38">
        <f t="shared" si="4"/>
        <v>23010644.666666668</v>
      </c>
      <c r="M25" s="38">
        <f t="shared" si="4"/>
        <v>23010644.666666668</v>
      </c>
      <c r="N25" s="38">
        <f>B25-C25-D25-E25-F25-G25-H25-I25-J25-K25-L25-M25</f>
        <v>55494404.666666687</v>
      </c>
      <c r="O25" s="38">
        <f>SUM(C25:N25)</f>
        <v>308611496</v>
      </c>
      <c r="Q25" s="2"/>
    </row>
    <row r="26" spans="1:18" x14ac:dyDescent="0.2">
      <c r="A26" s="37" t="s">
        <v>114</v>
      </c>
      <c r="B26" s="38">
        <f>'Működési kiadások 18.'!F14</f>
        <v>19763000</v>
      </c>
      <c r="C26" s="38">
        <v>1694000</v>
      </c>
      <c r="D26" s="38">
        <v>1694000</v>
      </c>
      <c r="E26" s="38">
        <v>1694000</v>
      </c>
      <c r="F26" s="38">
        <v>1694000</v>
      </c>
      <c r="G26" s="38">
        <v>1694000</v>
      </c>
      <c r="H26" s="38">
        <v>1694000</v>
      </c>
      <c r="I26" s="38">
        <v>1644000</v>
      </c>
      <c r="J26" s="38">
        <v>1644000</v>
      </c>
      <c r="K26" s="38">
        <v>1644000</v>
      </c>
      <c r="L26" s="38">
        <v>1644000</v>
      </c>
      <c r="M26" s="38">
        <v>1644000</v>
      </c>
      <c r="N26" s="38">
        <v>1379000</v>
      </c>
      <c r="O26" s="38">
        <f>SUM(C26:N26)</f>
        <v>19763000</v>
      </c>
      <c r="Q26" s="2"/>
    </row>
    <row r="27" spans="1:18" s="66" customFormat="1" ht="22.5" x14ac:dyDescent="0.2">
      <c r="A27" s="87" t="s">
        <v>130</v>
      </c>
      <c r="B27" s="38">
        <f>'Működési kiadások 18.'!C15-'Működési kiadások 18.'!C28</f>
        <v>73688053</v>
      </c>
      <c r="C27" s="38">
        <f>8992500+2425000</f>
        <v>11417500</v>
      </c>
      <c r="D27" s="38">
        <f>2446700+2425000+50000</f>
        <v>4921700</v>
      </c>
      <c r="E27" s="38">
        <f>2446700+2425000+137598+150000</f>
        <v>5159298</v>
      </c>
      <c r="F27" s="38">
        <f t="shared" ref="F27:M27" si="5">2446700+2425000</f>
        <v>4871700</v>
      </c>
      <c r="G27" s="38">
        <f>2446700+2425000+5419000+2724455</f>
        <v>13015155</v>
      </c>
      <c r="H27" s="38">
        <f>2446700+2425000+200000</f>
        <v>5071700</v>
      </c>
      <c r="I27" s="38">
        <f t="shared" si="5"/>
        <v>4871700</v>
      </c>
      <c r="J27" s="38">
        <f t="shared" si="5"/>
        <v>4871700</v>
      </c>
      <c r="K27" s="38">
        <f t="shared" si="5"/>
        <v>4871700</v>
      </c>
      <c r="L27" s="38">
        <f t="shared" si="5"/>
        <v>4871700</v>
      </c>
      <c r="M27" s="38">
        <f t="shared" si="5"/>
        <v>4871700</v>
      </c>
      <c r="N27" s="38">
        <f>2447500+2425000</f>
        <v>4872500</v>
      </c>
      <c r="O27" s="38">
        <f t="shared" si="3"/>
        <v>73688053</v>
      </c>
      <c r="Q27" s="2"/>
    </row>
    <row r="28" spans="1:18" x14ac:dyDescent="0.2">
      <c r="A28" s="64" t="s">
        <v>260</v>
      </c>
      <c r="B28" s="65">
        <f>'Működési kiadások 18.'!C28</f>
        <v>26655754</v>
      </c>
      <c r="C28" s="38">
        <f>B28/12</f>
        <v>2221312.8333333335</v>
      </c>
      <c r="D28" s="38">
        <v>2221313</v>
      </c>
      <c r="E28" s="38">
        <v>2221313</v>
      </c>
      <c r="F28" s="38">
        <v>2221313</v>
      </c>
      <c r="G28" s="38">
        <v>2221313</v>
      </c>
      <c r="H28" s="38">
        <v>2221313</v>
      </c>
      <c r="I28" s="38">
        <v>2221313</v>
      </c>
      <c r="J28" s="38">
        <v>2221313</v>
      </c>
      <c r="K28" s="38">
        <v>2221313</v>
      </c>
      <c r="L28" s="38">
        <v>2221313</v>
      </c>
      <c r="M28" s="38">
        <v>2221313</v>
      </c>
      <c r="N28" s="38">
        <v>2221311</v>
      </c>
      <c r="O28" s="65">
        <f>SUM(C28:N28)</f>
        <v>26655753.833333336</v>
      </c>
      <c r="Q28" s="2"/>
    </row>
    <row r="29" spans="1:18" ht="36.75" customHeight="1" x14ac:dyDescent="0.2">
      <c r="A29" s="37" t="s">
        <v>115</v>
      </c>
      <c r="B29" s="38">
        <f>'Kiadások 10. m.'!E20</f>
        <v>360227863</v>
      </c>
      <c r="C29" s="38"/>
      <c r="D29" s="38"/>
      <c r="E29" s="38">
        <v>6500000</v>
      </c>
      <c r="F29" s="38">
        <v>100000</v>
      </c>
      <c r="G29" s="38">
        <v>13811720</v>
      </c>
      <c r="H29" s="38"/>
      <c r="I29" s="38">
        <v>190500</v>
      </c>
      <c r="J29" s="38"/>
      <c r="K29" s="38">
        <v>83202953</v>
      </c>
      <c r="L29" s="38">
        <f>3290582+26640344</f>
        <v>29930926</v>
      </c>
      <c r="M29" s="38">
        <v>226212120</v>
      </c>
      <c r="N29" s="38">
        <v>279644</v>
      </c>
      <c r="O29" s="38">
        <f>SUM(C29:N29)</f>
        <v>360227863</v>
      </c>
      <c r="Q29" s="2"/>
    </row>
    <row r="30" spans="1:18" x14ac:dyDescent="0.2">
      <c r="A30" s="87" t="s">
        <v>116</v>
      </c>
      <c r="B30" s="38">
        <f>'Kiadások 10. m.'!E21</f>
        <v>3178892</v>
      </c>
      <c r="C30" s="470"/>
      <c r="D30" s="470"/>
      <c r="E30" s="470">
        <v>500000</v>
      </c>
      <c r="F30" s="470"/>
      <c r="G30" s="470"/>
      <c r="H30" s="470"/>
      <c r="I30" s="470">
        <v>1000000</v>
      </c>
      <c r="J30" s="470"/>
      <c r="K30" s="470"/>
      <c r="L30" s="470">
        <v>500000</v>
      </c>
      <c r="M30" s="470">
        <v>1178892</v>
      </c>
      <c r="N30" s="470"/>
      <c r="O30" s="38">
        <f t="shared" si="3"/>
        <v>3178892</v>
      </c>
      <c r="Q30" s="2"/>
    </row>
    <row r="31" spans="1:18" x14ac:dyDescent="0.2">
      <c r="A31" s="37" t="s">
        <v>117</v>
      </c>
      <c r="B31" s="65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>
        <f t="shared" si="3"/>
        <v>0</v>
      </c>
      <c r="Q31" s="2"/>
    </row>
    <row r="32" spans="1:18" x14ac:dyDescent="0.2">
      <c r="A32" s="37" t="s">
        <v>170</v>
      </c>
      <c r="B32" s="65">
        <f>'Kiadások 10. m.'!E15</f>
        <v>265569898</v>
      </c>
      <c r="C32" s="38">
        <f>13032816+21045000</f>
        <v>34077816</v>
      </c>
      <c r="D32" s="38">
        <v>21045000</v>
      </c>
      <c r="E32" s="38">
        <v>21045000</v>
      </c>
      <c r="F32" s="38">
        <v>21045000</v>
      </c>
      <c r="G32" s="38">
        <v>21045000</v>
      </c>
      <c r="H32" s="38">
        <v>21045000</v>
      </c>
      <c r="I32" s="38">
        <v>21045000</v>
      </c>
      <c r="J32" s="38">
        <v>21045000</v>
      </c>
      <c r="K32" s="38">
        <v>21045000</v>
      </c>
      <c r="L32" s="38">
        <v>21045000</v>
      </c>
      <c r="M32" s="38">
        <v>21045000</v>
      </c>
      <c r="N32" s="38">
        <v>21042082</v>
      </c>
      <c r="O32" s="38">
        <f>SUM(C32:N32)</f>
        <v>265569898</v>
      </c>
      <c r="Q32" s="2"/>
      <c r="R32" s="331"/>
    </row>
    <row r="33" spans="1:17" x14ac:dyDescent="0.2">
      <c r="A33" s="37" t="s">
        <v>171</v>
      </c>
      <c r="B33" s="65">
        <f>'Kiadások 10. m.'!E23</f>
        <v>52103363</v>
      </c>
      <c r="C33" s="38"/>
      <c r="D33" s="38"/>
      <c r="E33" s="38">
        <v>35616844</v>
      </c>
      <c r="F33" s="38"/>
      <c r="G33" s="38"/>
      <c r="H33" s="38"/>
      <c r="I33" s="38"/>
      <c r="J33" s="38"/>
      <c r="K33" s="38">
        <v>16486519</v>
      </c>
      <c r="L33" s="38"/>
      <c r="M33" s="38"/>
      <c r="N33" s="38"/>
      <c r="O33" s="38">
        <f t="shared" si="3"/>
        <v>52103363</v>
      </c>
      <c r="Q33" s="2"/>
    </row>
    <row r="34" spans="1:17" x14ac:dyDescent="0.2">
      <c r="A34" s="42" t="s">
        <v>41</v>
      </c>
      <c r="B34" s="43">
        <f>SUM(B23:B33)</f>
        <v>1922384242</v>
      </c>
      <c r="C34" s="43">
        <f t="shared" ref="C34:N34" si="6">SUM(C23:C33)</f>
        <v>138206896.58333331</v>
      </c>
      <c r="D34" s="43">
        <f t="shared" si="6"/>
        <v>118678280.75</v>
      </c>
      <c r="E34" s="43">
        <f t="shared" si="6"/>
        <v>142648416.66666669</v>
      </c>
      <c r="F34" s="43">
        <f t="shared" si="6"/>
        <v>99843974.666666672</v>
      </c>
      <c r="G34" s="43">
        <f t="shared" si="6"/>
        <v>121699149.66666667</v>
      </c>
      <c r="H34" s="43">
        <f t="shared" si="6"/>
        <v>99943974.666666672</v>
      </c>
      <c r="I34" s="43">
        <f t="shared" si="6"/>
        <v>100884474.66666667</v>
      </c>
      <c r="J34" s="43">
        <f t="shared" si="6"/>
        <v>99693944.666666672</v>
      </c>
      <c r="K34" s="43">
        <f t="shared" si="6"/>
        <v>199383416.66666669</v>
      </c>
      <c r="L34" s="43">
        <f t="shared" si="6"/>
        <v>130124870.66666667</v>
      </c>
      <c r="M34" s="43">
        <f t="shared" si="6"/>
        <v>327084956.66666669</v>
      </c>
      <c r="N34" s="43">
        <f t="shared" si="6"/>
        <v>344191885.49999994</v>
      </c>
      <c r="O34" s="43">
        <f>SUM(O23:O33)</f>
        <v>1922384241.8333333</v>
      </c>
      <c r="Q34" s="2"/>
    </row>
    <row r="35" spans="1:17" x14ac:dyDescent="0.2">
      <c r="B35" s="331"/>
      <c r="F35" s="331"/>
    </row>
    <row r="36" spans="1:17" x14ac:dyDescent="0.2">
      <c r="B36" s="2"/>
      <c r="C36" s="331"/>
      <c r="F36" s="331"/>
    </row>
    <row r="37" spans="1:17" x14ac:dyDescent="0.2">
      <c r="B37" s="89"/>
      <c r="C37" s="331"/>
      <c r="D37" s="331"/>
      <c r="F37" s="331"/>
      <c r="G37" s="331"/>
      <c r="H37" s="89"/>
      <c r="I37" s="331"/>
      <c r="K37" s="331"/>
      <c r="L37" s="2"/>
    </row>
    <row r="38" spans="1:17" x14ac:dyDescent="0.2">
      <c r="B38" s="2"/>
      <c r="D38" s="331"/>
      <c r="F38" s="331"/>
      <c r="G38" s="331"/>
      <c r="H38" s="89"/>
      <c r="I38" s="331"/>
      <c r="K38" s="331"/>
      <c r="L38" s="2"/>
      <c r="N38" s="2"/>
    </row>
    <row r="39" spans="1:17" x14ac:dyDescent="0.2">
      <c r="D39" s="331"/>
      <c r="F39" s="331"/>
      <c r="G39" s="331"/>
      <c r="H39" s="89"/>
      <c r="I39" s="331"/>
      <c r="K39" s="331"/>
    </row>
    <row r="40" spans="1:17" x14ac:dyDescent="0.2">
      <c r="D40" s="331"/>
      <c r="F40" s="331"/>
      <c r="G40" s="331"/>
      <c r="H40" s="89"/>
      <c r="I40" s="331"/>
      <c r="K40" s="331"/>
    </row>
    <row r="41" spans="1:17" x14ac:dyDescent="0.2">
      <c r="D41" s="331"/>
      <c r="F41" s="331"/>
      <c r="G41" s="331"/>
      <c r="H41" s="89"/>
      <c r="I41" s="331"/>
    </row>
    <row r="42" spans="1:17" x14ac:dyDescent="0.2">
      <c r="D42" s="331"/>
      <c r="F42" s="331"/>
      <c r="G42" s="331"/>
      <c r="H42" s="89"/>
      <c r="I42" s="331"/>
    </row>
    <row r="43" spans="1:17" x14ac:dyDescent="0.2">
      <c r="D43" s="331"/>
      <c r="F43" s="89"/>
      <c r="G43" s="331"/>
      <c r="H43" s="89"/>
      <c r="I43" s="331"/>
    </row>
    <row r="44" spans="1:17" x14ac:dyDescent="0.2">
      <c r="D44" s="331"/>
    </row>
    <row r="45" spans="1:17" x14ac:dyDescent="0.2">
      <c r="H45" s="89"/>
    </row>
  </sheetData>
  <mergeCells count="1">
    <mergeCell ref="A3:O3"/>
  </mergeCells>
  <pageMargins left="0.75" right="0.75" top="1" bottom="1" header="0.5" footer="0.5"/>
  <pageSetup paperSize="9" scale="53" orientation="landscape" r:id="rId1"/>
  <headerFooter alignWithMargins="0">
    <oddHeader>&amp;R21. sz. melléklet
.../2025.(VIII.28.) Egyek Önk.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7"/>
  <sheetViews>
    <sheetView view="pageLayout" topLeftCell="A4" zoomScaleNormal="110" workbookViewId="0">
      <selection activeCell="A25" sqref="A25"/>
    </sheetView>
  </sheetViews>
  <sheetFormatPr defaultRowHeight="12.75" x14ac:dyDescent="0.2"/>
  <cols>
    <col min="1" max="1" width="33.28515625" style="4" customWidth="1"/>
    <col min="2" max="2" width="17" style="4" customWidth="1"/>
    <col min="3" max="3" width="33.7109375" style="4" customWidth="1"/>
    <col min="4" max="4" width="19.7109375" style="577" customWidth="1"/>
    <col min="5" max="5" width="17.5703125" bestFit="1" customWidth="1"/>
    <col min="6" max="6" width="16.5703125" bestFit="1" customWidth="1"/>
    <col min="8" max="8" width="17.42578125" bestFit="1" customWidth="1"/>
    <col min="9" max="9" width="12.5703125" bestFit="1" customWidth="1"/>
  </cols>
  <sheetData>
    <row r="2" spans="1:8" x14ac:dyDescent="0.2">
      <c r="A2" s="742" t="s">
        <v>343</v>
      </c>
      <c r="B2" s="742"/>
      <c r="C2" s="742"/>
      <c r="D2" s="742"/>
    </row>
    <row r="3" spans="1:8" ht="51" customHeight="1" x14ac:dyDescent="0.2">
      <c r="A3" s="742"/>
      <c r="B3" s="742"/>
      <c r="C3" s="742"/>
      <c r="D3" s="742"/>
    </row>
    <row r="4" spans="1:8" x14ac:dyDescent="0.2">
      <c r="A4" s="9"/>
      <c r="B4" s="9"/>
    </row>
    <row r="5" spans="1:8" ht="13.5" thickBot="1" x14ac:dyDescent="0.25">
      <c r="D5" s="578"/>
    </row>
    <row r="6" spans="1:8" ht="13.15" customHeight="1" x14ac:dyDescent="0.2">
      <c r="A6" s="743" t="s">
        <v>215</v>
      </c>
      <c r="B6" s="746" t="s">
        <v>388</v>
      </c>
      <c r="C6" s="743" t="s">
        <v>1</v>
      </c>
      <c r="D6" s="749" t="s">
        <v>388</v>
      </c>
    </row>
    <row r="7" spans="1:8" x14ac:dyDescent="0.2">
      <c r="A7" s="744"/>
      <c r="B7" s="747"/>
      <c r="C7" s="744"/>
      <c r="D7" s="750"/>
    </row>
    <row r="8" spans="1:8" ht="13.5" thickBot="1" x14ac:dyDescent="0.25">
      <c r="A8" s="745"/>
      <c r="B8" s="748"/>
      <c r="C8" s="745"/>
      <c r="D8" s="751"/>
    </row>
    <row r="9" spans="1:8" ht="25.5" x14ac:dyDescent="0.2">
      <c r="A9" s="252" t="s">
        <v>111</v>
      </c>
      <c r="B9" s="179">
        <f>'Működési kiadások 18.'!F7</f>
        <v>741831625</v>
      </c>
      <c r="C9" s="182" t="s">
        <v>77</v>
      </c>
      <c r="D9" s="298">
        <f>'Mérleg 20. m.'!D6</f>
        <v>912602272</v>
      </c>
      <c r="E9" s="350"/>
      <c r="H9" s="89"/>
    </row>
    <row r="10" spans="1:8" ht="25.5" x14ac:dyDescent="0.2">
      <c r="A10" s="253" t="s">
        <v>129</v>
      </c>
      <c r="B10" s="180">
        <f>'Működési kiadások 18.'!F12</f>
        <v>70754298</v>
      </c>
      <c r="C10" s="183" t="s">
        <v>133</v>
      </c>
      <c r="D10" s="299">
        <f>'Mérleg 20. m.'!D20-31508641</f>
        <v>119120871</v>
      </c>
      <c r="E10" s="350"/>
      <c r="H10" s="89"/>
    </row>
    <row r="11" spans="1:8" ht="25.5" customHeight="1" x14ac:dyDescent="0.2">
      <c r="A11" s="254" t="s">
        <v>113</v>
      </c>
      <c r="B11" s="180">
        <f>'Működési kiadások 18.'!F13</f>
        <v>308611496</v>
      </c>
      <c r="C11" s="184" t="s">
        <v>75</v>
      </c>
      <c r="D11" s="299">
        <f>'Mérleg 20. m.'!D29-D23</f>
        <v>137302612</v>
      </c>
      <c r="E11" s="350"/>
      <c r="H11" s="89"/>
    </row>
    <row r="12" spans="1:8" ht="14.25" customHeight="1" x14ac:dyDescent="0.2">
      <c r="A12" s="254" t="s">
        <v>114</v>
      </c>
      <c r="B12" s="180">
        <f>'Működési kiadások 18.'!F14</f>
        <v>19763000</v>
      </c>
      <c r="C12" s="178" t="s">
        <v>92</v>
      </c>
      <c r="D12" s="299">
        <f>'Mérleg 20. m.'!D31</f>
        <v>23955816</v>
      </c>
      <c r="E12" s="349"/>
      <c r="F12" s="1"/>
      <c r="G12" s="126"/>
      <c r="H12" s="89"/>
    </row>
    <row r="13" spans="1:8" x14ac:dyDescent="0.2">
      <c r="A13" s="254" t="s">
        <v>131</v>
      </c>
      <c r="B13" s="180">
        <f>'Működési kiadások 18.'!C15</f>
        <v>100343807</v>
      </c>
      <c r="C13" s="183" t="s">
        <v>134</v>
      </c>
      <c r="D13" s="299">
        <f>SUM(D14:D15)</f>
        <v>300859737</v>
      </c>
    </row>
    <row r="14" spans="1:8" x14ac:dyDescent="0.2">
      <c r="A14" s="254" t="s">
        <v>132</v>
      </c>
      <c r="B14" s="180">
        <f>'Működési kiadások 18.'!C28</f>
        <v>26655754</v>
      </c>
      <c r="C14" s="184" t="s">
        <v>199</v>
      </c>
      <c r="D14" s="299">
        <f>'Bevétel 1.melléklet'!E42</f>
        <v>52341255</v>
      </c>
      <c r="E14" s="351"/>
      <c r="G14" s="2"/>
    </row>
    <row r="15" spans="1:8" x14ac:dyDescent="0.2">
      <c r="A15" s="451" t="s">
        <v>345</v>
      </c>
      <c r="B15" s="452">
        <f>'Kiadások 10. m.'!E17</f>
        <v>252537082</v>
      </c>
      <c r="C15" s="453" t="s">
        <v>344</v>
      </c>
      <c r="D15" s="579">
        <f>'Mérleg 20. m.'!D40-D27</f>
        <v>248518482</v>
      </c>
      <c r="E15" s="351"/>
      <c r="G15" s="2"/>
    </row>
    <row r="16" spans="1:8" ht="15.75" customHeight="1" thickBot="1" x14ac:dyDescent="0.25">
      <c r="A16" s="255" t="s">
        <v>125</v>
      </c>
      <c r="B16" s="181">
        <f>'Működési kiadások 18.'!C31</f>
        <v>13032816</v>
      </c>
      <c r="C16" s="185" t="s">
        <v>200</v>
      </c>
      <c r="D16" s="186">
        <f>'Mérleg 20. m.'!D39</f>
        <v>13032816</v>
      </c>
      <c r="H16" s="331"/>
    </row>
    <row r="17" spans="1:9" ht="15.75" customHeight="1" thickBot="1" x14ac:dyDescent="0.25">
      <c r="A17" s="12" t="s">
        <v>17</v>
      </c>
      <c r="B17" s="297">
        <f>SUM(B9+B10+B11+B12+B13+B16+B15)</f>
        <v>1506874124</v>
      </c>
      <c r="C17" s="484" t="s">
        <v>18</v>
      </c>
      <c r="D17" s="580">
        <f t="shared" ref="D17" si="0">D9+D10+D11+D12+D13+D16</f>
        <v>1506874124</v>
      </c>
      <c r="E17" s="89"/>
      <c r="F17" s="331"/>
      <c r="H17" s="89"/>
      <c r="I17" s="89"/>
    </row>
    <row r="18" spans="1:9" ht="13.15" customHeight="1" x14ac:dyDescent="0.35">
      <c r="A18" s="737"/>
      <c r="B18" s="738"/>
      <c r="C18" s="741"/>
      <c r="D18" s="473"/>
      <c r="E18" s="331"/>
      <c r="F18" s="331"/>
      <c r="H18" s="331"/>
    </row>
    <row r="19" spans="1:9" ht="13.9" customHeight="1" thickBot="1" x14ac:dyDescent="0.4">
      <c r="A19" s="739"/>
      <c r="B19" s="740"/>
      <c r="C19" s="741"/>
      <c r="D19" s="473"/>
      <c r="F19" s="331"/>
      <c r="H19" s="89"/>
    </row>
    <row r="20" spans="1:9" ht="48.75" customHeight="1" thickBot="1" x14ac:dyDescent="0.25">
      <c r="A20" s="471" t="s">
        <v>19</v>
      </c>
      <c r="B20" s="472" t="s">
        <v>388</v>
      </c>
      <c r="C20" s="474" t="s">
        <v>20</v>
      </c>
      <c r="D20" s="581" t="s">
        <v>388</v>
      </c>
      <c r="F20" s="331">
        <f>B29-D29</f>
        <v>0</v>
      </c>
      <c r="H20" s="89"/>
    </row>
    <row r="21" spans="1:9" ht="41.25" customHeight="1" x14ac:dyDescent="0.2">
      <c r="A21" s="475"/>
      <c r="B21" s="476"/>
      <c r="C21" s="480" t="s">
        <v>81</v>
      </c>
      <c r="D21" s="481">
        <f>'Mérleg 20. m.'!D17</f>
        <v>201533856</v>
      </c>
      <c r="F21" s="331"/>
      <c r="H21" s="89"/>
      <c r="I21" s="89"/>
    </row>
    <row r="22" spans="1:9" ht="27" customHeight="1" x14ac:dyDescent="0.2">
      <c r="A22" s="293"/>
      <c r="B22" s="477"/>
      <c r="C22" s="183" t="s">
        <v>133</v>
      </c>
      <c r="D22" s="455">
        <v>31508641</v>
      </c>
      <c r="F22" s="331"/>
      <c r="H22" s="89"/>
      <c r="I22" s="89"/>
    </row>
    <row r="23" spans="1:9" x14ac:dyDescent="0.2">
      <c r="A23" s="293"/>
      <c r="B23" s="477"/>
      <c r="C23" s="184" t="s">
        <v>75</v>
      </c>
      <c r="D23" s="455">
        <v>8934434</v>
      </c>
      <c r="F23" s="331"/>
      <c r="I23" s="89"/>
    </row>
    <row r="24" spans="1:9" x14ac:dyDescent="0.2">
      <c r="A24" s="293"/>
      <c r="B24" s="177"/>
      <c r="C24" s="183" t="s">
        <v>95</v>
      </c>
      <c r="D24" s="582">
        <f>'Mérleg 20. m.'!D30</f>
        <v>46659567</v>
      </c>
      <c r="F24" s="331"/>
      <c r="I24" s="89"/>
    </row>
    <row r="25" spans="1:9" x14ac:dyDescent="0.2">
      <c r="A25" s="178" t="s">
        <v>115</v>
      </c>
      <c r="B25" s="177">
        <f>'Kiadások 10. m.'!E20</f>
        <v>360227863</v>
      </c>
      <c r="C25" s="183" t="s">
        <v>83</v>
      </c>
      <c r="D25" s="455">
        <f>'Mérleg 20. m.'!D32</f>
        <v>150000</v>
      </c>
      <c r="F25" s="331"/>
    </row>
    <row r="26" spans="1:9" ht="25.5" x14ac:dyDescent="0.2">
      <c r="A26" s="178" t="s">
        <v>116</v>
      </c>
      <c r="B26" s="177">
        <f>'Kiadások 10. m.'!E21</f>
        <v>3178892</v>
      </c>
      <c r="C26" s="184" t="s">
        <v>135</v>
      </c>
      <c r="D26" s="455">
        <f>SUM(D27:D28)</f>
        <v>126723620</v>
      </c>
      <c r="F26" s="331"/>
    </row>
    <row r="27" spans="1:9" x14ac:dyDescent="0.2">
      <c r="A27" s="178" t="s">
        <v>117</v>
      </c>
      <c r="B27" s="177"/>
      <c r="C27" s="183" t="s">
        <v>344</v>
      </c>
      <c r="D27" s="455">
        <f>'Kiadások 10. m.'!C24</f>
        <v>4018600</v>
      </c>
      <c r="F27" s="331"/>
    </row>
    <row r="28" spans="1:9" ht="13.5" thickBot="1" x14ac:dyDescent="0.25">
      <c r="A28" s="478" t="s">
        <v>125</v>
      </c>
      <c r="B28" s="479">
        <f>'Kiadások 10. m.'!E23</f>
        <v>52103363</v>
      </c>
      <c r="C28" s="295" t="s">
        <v>199</v>
      </c>
      <c r="D28" s="583">
        <f>'Bevétel 1.melléklet'!E43</f>
        <v>122705020</v>
      </c>
      <c r="F28" s="331"/>
    </row>
    <row r="29" spans="1:9" ht="15" customHeight="1" thickBot="1" x14ac:dyDescent="0.25">
      <c r="A29" s="296" t="s">
        <v>21</v>
      </c>
      <c r="B29" s="294">
        <f>SUM(B20:B28)</f>
        <v>415510118</v>
      </c>
      <c r="C29" s="482" t="s">
        <v>22</v>
      </c>
      <c r="D29" s="584">
        <f>SUM(D21:D26)</f>
        <v>415510118</v>
      </c>
      <c r="E29" s="89"/>
      <c r="F29" s="331"/>
    </row>
    <row r="30" spans="1:9" ht="31.15" customHeight="1" thickBot="1" x14ac:dyDescent="0.4">
      <c r="A30" s="737"/>
      <c r="B30" s="738"/>
      <c r="C30" s="483"/>
      <c r="D30" s="473"/>
      <c r="F30" s="331"/>
    </row>
    <row r="31" spans="1:9" ht="13.5" thickBot="1" x14ac:dyDescent="0.25">
      <c r="A31" s="486" t="s">
        <v>23</v>
      </c>
      <c r="B31" s="485">
        <f>B17+B29</f>
        <v>1922384242</v>
      </c>
      <c r="C31" s="484" t="s">
        <v>23</v>
      </c>
      <c r="D31" s="580">
        <f>D17+D29</f>
        <v>1922384242</v>
      </c>
      <c r="E31" s="89"/>
      <c r="F31" s="331"/>
    </row>
    <row r="32" spans="1:9" ht="27" customHeight="1" x14ac:dyDescent="0.2">
      <c r="D32" s="585"/>
      <c r="F32" s="331"/>
    </row>
    <row r="33" spans="2:6" x14ac:dyDescent="0.2">
      <c r="B33" s="507"/>
      <c r="C33" s="508"/>
      <c r="D33" s="586"/>
      <c r="F33" s="331"/>
    </row>
    <row r="34" spans="2:6" x14ac:dyDescent="0.2">
      <c r="B34" s="509"/>
      <c r="C34" s="510"/>
      <c r="D34" s="587"/>
    </row>
    <row r="35" spans="2:6" x14ac:dyDescent="0.2">
      <c r="B35" s="88"/>
      <c r="D35" s="585"/>
    </row>
    <row r="36" spans="2:6" x14ac:dyDescent="0.2">
      <c r="B36" s="88"/>
    </row>
    <row r="37" spans="2:6" x14ac:dyDescent="0.2">
      <c r="B37" s="88"/>
    </row>
  </sheetData>
  <mergeCells count="8">
    <mergeCell ref="A18:B19"/>
    <mergeCell ref="C18:C19"/>
    <mergeCell ref="A30:B30"/>
    <mergeCell ref="A2:D3"/>
    <mergeCell ref="A6:A8"/>
    <mergeCell ref="B6:B8"/>
    <mergeCell ref="C6:C8"/>
    <mergeCell ref="D6:D8"/>
  </mergeCells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&amp;R22. sz. melléklet
.../2025.(VIII.28.) Egyek Önk.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S17"/>
  <sheetViews>
    <sheetView view="pageLayout" zoomScale="90" zoomScaleNormal="100" zoomScalePageLayoutView="90" workbookViewId="0">
      <selection activeCell="A4" sqref="A4:I4"/>
    </sheetView>
  </sheetViews>
  <sheetFormatPr defaultRowHeight="12.75" x14ac:dyDescent="0.2"/>
  <cols>
    <col min="8" max="8" width="20" customWidth="1"/>
  </cols>
  <sheetData>
    <row r="1" spans="1:19" ht="20.25" x14ac:dyDescent="0.3">
      <c r="A1" s="755" t="s">
        <v>59</v>
      </c>
      <c r="B1" s="755"/>
      <c r="C1" s="755"/>
      <c r="D1" s="755"/>
      <c r="E1" s="755"/>
      <c r="F1" s="755"/>
      <c r="G1" s="755"/>
      <c r="H1" s="755"/>
      <c r="I1" s="755"/>
      <c r="L1" s="70"/>
      <c r="M1" s="2"/>
      <c r="N1" s="2"/>
      <c r="O1" s="2"/>
      <c r="P1" s="2"/>
      <c r="Q1" s="2"/>
      <c r="R1" s="2"/>
      <c r="S1" s="70"/>
    </row>
    <row r="2" spans="1:19" ht="15.75" x14ac:dyDescent="0.25">
      <c r="A2" s="68"/>
      <c r="B2" s="68"/>
      <c r="C2" s="68"/>
      <c r="D2" s="68"/>
      <c r="E2" s="68"/>
      <c r="F2" s="68"/>
      <c r="G2" s="68"/>
      <c r="H2" s="68"/>
      <c r="I2" s="68"/>
      <c r="L2" s="70"/>
      <c r="M2" s="2"/>
      <c r="N2" s="2"/>
      <c r="O2" s="753"/>
      <c r="P2" s="753"/>
      <c r="Q2" s="753"/>
      <c r="R2" s="753"/>
      <c r="S2" s="71"/>
    </row>
    <row r="3" spans="1:19" ht="15.75" x14ac:dyDescent="0.25">
      <c r="E3" s="723"/>
      <c r="F3" s="723"/>
      <c r="L3" s="152"/>
      <c r="M3" s="151"/>
      <c r="N3" s="151"/>
      <c r="O3" s="754"/>
      <c r="P3" s="754"/>
      <c r="Q3" s="754"/>
      <c r="R3" s="754"/>
      <c r="S3" s="150"/>
    </row>
    <row r="4" spans="1:19" ht="15.75" x14ac:dyDescent="0.25">
      <c r="A4" s="723" t="s">
        <v>342</v>
      </c>
      <c r="B4" s="723"/>
      <c r="C4" s="723"/>
      <c r="D4" s="723"/>
      <c r="E4" s="723"/>
      <c r="F4" s="723"/>
      <c r="G4" s="723"/>
      <c r="H4" s="723"/>
      <c r="I4" s="723"/>
    </row>
    <row r="5" spans="1:19" ht="15.75" x14ac:dyDescent="0.25">
      <c r="A5" s="723" t="s">
        <v>60</v>
      </c>
      <c r="B5" s="723"/>
      <c r="C5" s="723"/>
      <c r="D5" s="723"/>
      <c r="E5" s="723"/>
      <c r="F5" s="723"/>
      <c r="G5" s="723"/>
      <c r="H5" s="723"/>
      <c r="I5" s="723"/>
    </row>
    <row r="11" spans="1:19" x14ac:dyDescent="0.2">
      <c r="H11" s="164" t="s">
        <v>202</v>
      </c>
    </row>
    <row r="12" spans="1:19" x14ac:dyDescent="0.2">
      <c r="A12" s="69"/>
      <c r="B12" s="69"/>
      <c r="C12" s="71"/>
      <c r="D12" s="110"/>
      <c r="E12" s="110"/>
      <c r="F12" s="110"/>
      <c r="G12" s="110"/>
      <c r="H12" s="69"/>
      <c r="I12" s="2"/>
    </row>
    <row r="13" spans="1:19" ht="32.25" customHeight="1" x14ac:dyDescent="0.3">
      <c r="A13" s="752" t="s">
        <v>61</v>
      </c>
      <c r="B13" s="752"/>
      <c r="C13" s="752"/>
      <c r="D13" s="752"/>
      <c r="E13" s="72"/>
      <c r="F13" s="72"/>
      <c r="G13" s="72"/>
      <c r="H13" s="72">
        <f>'Működési kiadások 18.'!F28</f>
        <v>26655754</v>
      </c>
      <c r="I13" s="2"/>
    </row>
    <row r="14" spans="1:19" ht="15.75" customHeight="1" x14ac:dyDescent="0.2">
      <c r="A14" s="152"/>
      <c r="B14" s="151"/>
      <c r="C14" s="151"/>
      <c r="I14" s="2"/>
    </row>
    <row r="15" spans="1:19" ht="36.75" customHeight="1" x14ac:dyDescent="0.2">
      <c r="A15" s="152"/>
      <c r="B15" s="151"/>
      <c r="C15" s="151"/>
      <c r="I15" s="2"/>
    </row>
    <row r="16" spans="1:19" ht="22.5" customHeight="1" x14ac:dyDescent="0.25">
      <c r="A16" s="70"/>
      <c r="B16" s="2"/>
      <c r="C16" s="2"/>
      <c r="I16" s="2"/>
    </row>
    <row r="17" spans="9:9" ht="39.75" customHeight="1" x14ac:dyDescent="0.2">
      <c r="I17" s="2"/>
    </row>
  </sheetData>
  <mergeCells count="7">
    <mergeCell ref="A13:D13"/>
    <mergeCell ref="E3:F3"/>
    <mergeCell ref="O2:R2"/>
    <mergeCell ref="O3:R3"/>
    <mergeCell ref="A1:I1"/>
    <mergeCell ref="A4:I4"/>
    <mergeCell ref="A5:I5"/>
  </mergeCells>
  <phoneticPr fontId="34" type="noConversion"/>
  <pageMargins left="0.75" right="0.75" top="1" bottom="1" header="0.5" footer="0.5"/>
  <pageSetup paperSize="9" scale="49" orientation="portrait" r:id="rId1"/>
  <headerFooter alignWithMargins="0">
    <oddHeader>&amp;R23. sz. melléklet
..../2025.(VIII.28.) Egyek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Layout" zoomScaleNormal="140" workbookViewId="0">
      <selection activeCell="D7" sqref="D7"/>
    </sheetView>
  </sheetViews>
  <sheetFormatPr defaultColWidth="8" defaultRowHeight="15" x14ac:dyDescent="0.25"/>
  <cols>
    <col min="1" max="1" width="4.85546875" style="623" customWidth="1"/>
    <col min="2" max="2" width="58.85546875" style="623" customWidth="1"/>
    <col min="3" max="3" width="16.7109375" style="623" customWidth="1"/>
    <col min="4" max="5" width="17.140625" style="623" customWidth="1"/>
    <col min="6" max="6" width="19" style="623" customWidth="1"/>
    <col min="7" max="16384" width="8" style="623"/>
  </cols>
  <sheetData>
    <row r="1" spans="1:9" ht="33" customHeight="1" x14ac:dyDescent="0.25">
      <c r="A1" s="756" t="s">
        <v>372</v>
      </c>
      <c r="B1" s="756"/>
      <c r="C1" s="756"/>
      <c r="D1" s="756"/>
      <c r="E1" s="756"/>
      <c r="F1" s="756"/>
    </row>
    <row r="2" spans="1:9" ht="15.95" customHeight="1" thickBot="1" x14ac:dyDescent="0.3">
      <c r="A2" s="624"/>
      <c r="B2" s="624"/>
      <c r="D2" s="625"/>
      <c r="F2" s="626" t="s">
        <v>373</v>
      </c>
    </row>
    <row r="3" spans="1:9" ht="26.25" customHeight="1" thickBot="1" x14ac:dyDescent="0.3">
      <c r="A3" s="627" t="s">
        <v>46</v>
      </c>
      <c r="B3" s="628" t="s">
        <v>374</v>
      </c>
      <c r="C3" s="629" t="s">
        <v>346</v>
      </c>
      <c r="D3" s="629" t="s">
        <v>375</v>
      </c>
      <c r="E3" s="629" t="s">
        <v>376</v>
      </c>
      <c r="F3" s="629" t="s">
        <v>377</v>
      </c>
    </row>
    <row r="4" spans="1:9" ht="15.75" thickBot="1" x14ac:dyDescent="0.3">
      <c r="A4" s="630">
        <v>1</v>
      </c>
      <c r="B4" s="631">
        <v>2</v>
      </c>
      <c r="C4" s="632">
        <v>3</v>
      </c>
      <c r="D4" s="633">
        <v>4</v>
      </c>
      <c r="E4" s="634">
        <v>5</v>
      </c>
      <c r="F4" s="635">
        <v>6</v>
      </c>
    </row>
    <row r="5" spans="1:9" x14ac:dyDescent="0.25">
      <c r="A5" s="636" t="s">
        <v>2</v>
      </c>
      <c r="B5" s="637" t="s">
        <v>378</v>
      </c>
      <c r="C5" s="638">
        <f>'[1]Bevétel 1.melléklet'!B23+'[1]Bevétel 1.melléklet'!B24</f>
        <v>137673512</v>
      </c>
      <c r="D5" s="638">
        <f>C5</f>
        <v>137673512</v>
      </c>
      <c r="E5" s="638">
        <f t="shared" ref="E5:F5" si="0">D5</f>
        <v>137673512</v>
      </c>
      <c r="F5" s="638">
        <f t="shared" si="0"/>
        <v>137673512</v>
      </c>
    </row>
    <row r="6" spans="1:9" x14ac:dyDescent="0.25">
      <c r="A6" s="639" t="s">
        <v>6</v>
      </c>
      <c r="B6" s="640" t="s">
        <v>379</v>
      </c>
      <c r="C6" s="641"/>
      <c r="D6" s="641"/>
      <c r="E6" s="641"/>
      <c r="F6" s="641"/>
    </row>
    <row r="7" spans="1:9" x14ac:dyDescent="0.25">
      <c r="A7" s="639" t="s">
        <v>10</v>
      </c>
      <c r="B7" s="640" t="s">
        <v>380</v>
      </c>
      <c r="C7" s="641">
        <v>12956000</v>
      </c>
      <c r="D7" s="641">
        <f>C7</f>
        <v>12956000</v>
      </c>
      <c r="E7" s="641">
        <f t="shared" ref="E7:F8" si="1">D7</f>
        <v>12956000</v>
      </c>
      <c r="F7" s="641">
        <f t="shared" si="1"/>
        <v>12956000</v>
      </c>
      <c r="I7" s="642"/>
    </row>
    <row r="8" spans="1:9" ht="23.25" x14ac:dyDescent="0.25">
      <c r="A8" s="639" t="s">
        <v>4</v>
      </c>
      <c r="B8" s="643" t="s">
        <v>381</v>
      </c>
      <c r="C8" s="641">
        <v>46319567</v>
      </c>
      <c r="D8" s="641">
        <v>1000000</v>
      </c>
      <c r="E8" s="641">
        <f t="shared" si="1"/>
        <v>1000000</v>
      </c>
      <c r="F8" s="641">
        <f t="shared" si="1"/>
        <v>1000000</v>
      </c>
    </row>
    <row r="9" spans="1:9" x14ac:dyDescent="0.25">
      <c r="A9" s="644" t="s">
        <v>7</v>
      </c>
      <c r="B9" s="645" t="s">
        <v>382</v>
      </c>
      <c r="C9" s="641"/>
      <c r="D9" s="641"/>
      <c r="E9" s="641"/>
      <c r="F9" s="641"/>
    </row>
    <row r="10" spans="1:9" x14ac:dyDescent="0.25">
      <c r="A10" s="639" t="s">
        <v>11</v>
      </c>
      <c r="B10" s="640" t="s">
        <v>383</v>
      </c>
      <c r="C10" s="641"/>
      <c r="D10" s="641"/>
      <c r="E10" s="641"/>
      <c r="F10" s="641"/>
    </row>
    <row r="11" spans="1:9" ht="15.75" thickBot="1" x14ac:dyDescent="0.3">
      <c r="A11" s="644" t="s">
        <v>5</v>
      </c>
      <c r="B11" s="645" t="s">
        <v>384</v>
      </c>
      <c r="C11" s="646"/>
      <c r="D11" s="646"/>
      <c r="E11" s="646"/>
      <c r="F11" s="646"/>
    </row>
    <row r="12" spans="1:9" s="648" customFormat="1" ht="15.75" thickBot="1" x14ac:dyDescent="0.3">
      <c r="A12" s="757" t="s">
        <v>385</v>
      </c>
      <c r="B12" s="758"/>
      <c r="C12" s="647">
        <f>SUM(C5:C11)</f>
        <v>196949079</v>
      </c>
      <c r="D12" s="647">
        <f>SUM(D5:D11)</f>
        <v>151629512</v>
      </c>
      <c r="E12" s="647">
        <f>SUM(E5:E11)</f>
        <v>151629512</v>
      </c>
      <c r="F12" s="647">
        <f>SUM(F5:F11)</f>
        <v>151629512</v>
      </c>
    </row>
    <row r="13" spans="1:9" s="650" customFormat="1" ht="33" customHeight="1" thickBot="1" x14ac:dyDescent="0.25">
      <c r="A13" s="759" t="s">
        <v>386</v>
      </c>
      <c r="B13" s="760"/>
      <c r="C13" s="649">
        <f>C12*0.5</f>
        <v>98474539.5</v>
      </c>
      <c r="D13" s="649">
        <f>D12*0.5</f>
        <v>75814756</v>
      </c>
      <c r="E13" s="649">
        <f>E12*0.5</f>
        <v>75814756</v>
      </c>
      <c r="F13" s="649">
        <f>F12*0.5</f>
        <v>75814756</v>
      </c>
    </row>
    <row r="14" spans="1:9" s="650" customFormat="1" thickBot="1" x14ac:dyDescent="0.25">
      <c r="A14" s="761"/>
      <c r="B14" s="762"/>
      <c r="C14" s="651">
        <f>C13/C12</f>
        <v>0.5</v>
      </c>
      <c r="D14" s="651">
        <f>D13/D12</f>
        <v>0.5</v>
      </c>
      <c r="E14" s="651">
        <f>E13/E12</f>
        <v>0.5</v>
      </c>
      <c r="F14" s="651">
        <f>F13/F12</f>
        <v>0.5</v>
      </c>
    </row>
  </sheetData>
  <mergeCells count="4">
    <mergeCell ref="A1:F1"/>
    <mergeCell ref="A12:B12"/>
    <mergeCell ref="A13:B13"/>
    <mergeCell ref="A14:B14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8" orientation="landscape" r:id="rId1"/>
  <headerFooter alignWithMargins="0">
    <oddHeader>&amp;R&amp;"Times New Roman CE,Normál"&amp;11 24. melléklet a ...../2025.(VIII.28.)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view="pageLayout" topLeftCell="E1" zoomScaleNormal="90" workbookViewId="0">
      <selection activeCell="R18" sqref="R18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62" t="s">
        <v>329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86.25" customHeight="1" thickBot="1" x14ac:dyDescent="0.25">
      <c r="A6" s="663" t="s">
        <v>96</v>
      </c>
      <c r="B6" s="337" t="s">
        <v>77</v>
      </c>
      <c r="C6" s="377" t="s">
        <v>81</v>
      </c>
      <c r="D6" s="337" t="s">
        <v>94</v>
      </c>
      <c r="E6" s="337" t="s">
        <v>75</v>
      </c>
      <c r="F6" s="337" t="s">
        <v>95</v>
      </c>
      <c r="G6" s="337" t="s">
        <v>92</v>
      </c>
      <c r="H6" s="337" t="s">
        <v>83</v>
      </c>
      <c r="I6" s="337" t="s">
        <v>90</v>
      </c>
      <c r="J6" s="338" t="s">
        <v>13</v>
      </c>
    </row>
    <row r="7" spans="1:10" ht="25.5" customHeight="1" thickBot="1" x14ac:dyDescent="0.25">
      <c r="A7" s="664"/>
      <c r="B7" s="132" t="s">
        <v>264</v>
      </c>
      <c r="C7" s="132" t="s">
        <v>264</v>
      </c>
      <c r="D7" s="132" t="s">
        <v>264</v>
      </c>
      <c r="E7" s="132" t="s">
        <v>264</v>
      </c>
      <c r="F7" s="132" t="s">
        <v>264</v>
      </c>
      <c r="G7" s="132" t="s">
        <v>264</v>
      </c>
      <c r="H7" s="132" t="s">
        <v>264</v>
      </c>
      <c r="I7" s="132" t="s">
        <v>264</v>
      </c>
      <c r="J7" s="132" t="s">
        <v>264</v>
      </c>
    </row>
    <row r="8" spans="1:10" s="246" customFormat="1" ht="27.75" customHeight="1" thickBot="1" x14ac:dyDescent="0.25">
      <c r="A8" s="265" t="s">
        <v>188</v>
      </c>
      <c r="B8" s="367"/>
      <c r="C8" s="369"/>
      <c r="D8" s="368"/>
      <c r="E8" s="369">
        <v>5100649</v>
      </c>
      <c r="F8" s="368"/>
      <c r="G8" s="368">
        <v>20955816</v>
      </c>
      <c r="H8" s="368"/>
      <c r="I8" s="370"/>
      <c r="J8" s="364">
        <f>SUM(B8:I8)</f>
        <v>26056465</v>
      </c>
    </row>
    <row r="9" spans="1:10" ht="13.5" thickBot="1" x14ac:dyDescent="0.25">
      <c r="A9" s="446" t="s">
        <v>103</v>
      </c>
      <c r="B9" s="371"/>
      <c r="C9" s="215"/>
      <c r="D9" s="251"/>
      <c r="E9" s="215">
        <v>1607163</v>
      </c>
      <c r="F9" s="251"/>
      <c r="G9" s="215"/>
      <c r="H9" s="251"/>
      <c r="I9" s="372"/>
      <c r="J9" s="364">
        <f t="shared" ref="J9:J25" si="0">SUM(B9:I9)</f>
        <v>1607163</v>
      </c>
    </row>
    <row r="10" spans="1:10" s="66" customFormat="1" ht="27.75" customHeight="1" thickBot="1" x14ac:dyDescent="0.25">
      <c r="A10" s="460" t="s">
        <v>97</v>
      </c>
      <c r="B10" s="375">
        <v>3696000</v>
      </c>
      <c r="C10" s="366"/>
      <c r="D10" s="366"/>
      <c r="E10" s="366">
        <v>73765685</v>
      </c>
      <c r="F10" s="366">
        <v>46649567</v>
      </c>
      <c r="G10" s="366"/>
      <c r="H10" s="366"/>
      <c r="I10" s="376"/>
      <c r="J10" s="364">
        <f t="shared" si="0"/>
        <v>124111252</v>
      </c>
    </row>
    <row r="11" spans="1:10" s="462" customFormat="1" ht="15.75" customHeight="1" thickBot="1" x14ac:dyDescent="0.25">
      <c r="A11" s="388" t="s">
        <v>99</v>
      </c>
      <c r="B11" s="375">
        <f>'Bevétel 1.melléklet'!B8</f>
        <v>382980191</v>
      </c>
      <c r="C11" s="366"/>
      <c r="D11" s="366"/>
      <c r="E11" s="461"/>
      <c r="F11" s="366"/>
      <c r="G11" s="461"/>
      <c r="H11" s="461"/>
      <c r="I11" s="376">
        <f>'Bevétel 1.melléklet'!B45</f>
        <v>13032816</v>
      </c>
      <c r="J11" s="364">
        <f t="shared" si="0"/>
        <v>396013007</v>
      </c>
    </row>
    <row r="12" spans="1:10" s="462" customFormat="1" ht="15.75" customHeight="1" thickBot="1" x14ac:dyDescent="0.25">
      <c r="A12" s="463" t="s">
        <v>205</v>
      </c>
      <c r="B12" s="375"/>
      <c r="C12" s="366"/>
      <c r="D12" s="366"/>
      <c r="E12" s="461"/>
      <c r="F12" s="366"/>
      <c r="G12" s="461"/>
      <c r="H12" s="461"/>
      <c r="I12" s="376">
        <f>'Bevétel 1.melléklet'!B41</f>
        <v>174596133</v>
      </c>
      <c r="J12" s="364">
        <f t="shared" si="0"/>
        <v>174596133</v>
      </c>
    </row>
    <row r="13" spans="1:10" s="462" customFormat="1" ht="15.75" customHeight="1" thickBot="1" x14ac:dyDescent="0.25">
      <c r="A13" s="463" t="s">
        <v>227</v>
      </c>
      <c r="B13" s="375">
        <v>107885318</v>
      </c>
      <c r="C13" s="366">
        <v>650701</v>
      </c>
      <c r="D13" s="366"/>
      <c r="E13" s="461"/>
      <c r="F13" s="366"/>
      <c r="G13" s="461"/>
      <c r="H13" s="461"/>
      <c r="I13" s="376"/>
      <c r="J13" s="364">
        <f t="shared" si="0"/>
        <v>108536019</v>
      </c>
    </row>
    <row r="14" spans="1:10" s="66" customFormat="1" ht="13.5" thickBot="1" x14ac:dyDescent="0.25">
      <c r="A14" s="463" t="s">
        <v>102</v>
      </c>
      <c r="B14" s="375">
        <v>337260363</v>
      </c>
      <c r="C14" s="366">
        <v>1351163</v>
      </c>
      <c r="D14" s="464"/>
      <c r="E14" s="366">
        <v>20692312</v>
      </c>
      <c r="F14" s="366">
        <v>10000</v>
      </c>
      <c r="G14" s="464"/>
      <c r="H14" s="464"/>
      <c r="I14" s="376"/>
      <c r="J14" s="364">
        <f t="shared" si="0"/>
        <v>359313838</v>
      </c>
    </row>
    <row r="15" spans="1:10" s="66" customFormat="1" ht="15.75" customHeight="1" thickBot="1" x14ac:dyDescent="0.25">
      <c r="A15" s="460" t="s">
        <v>187</v>
      </c>
      <c r="B15" s="375"/>
      <c r="C15" s="366"/>
      <c r="D15" s="366"/>
      <c r="E15" s="366">
        <v>39243000</v>
      </c>
      <c r="F15" s="366"/>
      <c r="G15" s="366"/>
      <c r="H15" s="366"/>
      <c r="I15" s="376"/>
      <c r="J15" s="364">
        <f t="shared" si="0"/>
        <v>39243000</v>
      </c>
    </row>
    <row r="16" spans="1:10" s="66" customFormat="1" ht="13.5" thickBot="1" x14ac:dyDescent="0.25">
      <c r="A16" s="388" t="s">
        <v>217</v>
      </c>
      <c r="B16" s="375"/>
      <c r="C16" s="366">
        <v>199531992</v>
      </c>
      <c r="D16" s="366"/>
      <c r="E16" s="366"/>
      <c r="F16" s="366"/>
      <c r="G16" s="366"/>
      <c r="H16" s="366"/>
      <c r="I16" s="376"/>
      <c r="J16" s="364">
        <f t="shared" si="0"/>
        <v>199531992</v>
      </c>
    </row>
    <row r="17" spans="1:10" s="66" customFormat="1" ht="13.5" thickBot="1" x14ac:dyDescent="0.25">
      <c r="A17" s="388" t="s">
        <v>228</v>
      </c>
      <c r="B17" s="375"/>
      <c r="C17" s="366"/>
      <c r="D17" s="366"/>
      <c r="E17" s="366">
        <v>762000</v>
      </c>
      <c r="F17" s="366"/>
      <c r="G17" s="366"/>
      <c r="H17" s="366"/>
      <c r="I17" s="376"/>
      <c r="J17" s="364">
        <f t="shared" si="0"/>
        <v>762000</v>
      </c>
    </row>
    <row r="18" spans="1:10" s="66" customFormat="1" ht="18" customHeight="1" thickBot="1" x14ac:dyDescent="0.25">
      <c r="A18" s="460" t="s">
        <v>193</v>
      </c>
      <c r="B18" s="375"/>
      <c r="C18" s="366"/>
      <c r="D18" s="366"/>
      <c r="E18" s="366">
        <v>635000</v>
      </c>
      <c r="F18" s="366"/>
      <c r="G18" s="366"/>
      <c r="H18" s="366"/>
      <c r="I18" s="376"/>
      <c r="J18" s="364">
        <f t="shared" si="0"/>
        <v>635000</v>
      </c>
    </row>
    <row r="19" spans="1:10" ht="18" customHeight="1" thickBot="1" x14ac:dyDescent="0.25">
      <c r="A19" s="247" t="s">
        <v>299</v>
      </c>
      <c r="B19" s="373"/>
      <c r="C19" s="165">
        <v>13453220</v>
      </c>
      <c r="D19" s="165"/>
      <c r="E19" s="165"/>
      <c r="F19" s="165"/>
      <c r="G19" s="165"/>
      <c r="H19" s="165"/>
      <c r="I19" s="374"/>
      <c r="J19" s="364">
        <f t="shared" si="0"/>
        <v>13453220</v>
      </c>
    </row>
    <row r="20" spans="1:10" s="66" customFormat="1" ht="13.5" thickBot="1" x14ac:dyDescent="0.25">
      <c r="A20" s="388" t="s">
        <v>98</v>
      </c>
      <c r="B20" s="375"/>
      <c r="C20" s="366"/>
      <c r="D20" s="366"/>
      <c r="E20" s="366">
        <v>303000</v>
      </c>
      <c r="F20" s="366"/>
      <c r="G20" s="366"/>
      <c r="H20" s="366"/>
      <c r="I20" s="376"/>
      <c r="J20" s="364">
        <f t="shared" si="0"/>
        <v>303000</v>
      </c>
    </row>
    <row r="21" spans="1:10" s="66" customFormat="1" ht="13.5" thickBot="1" x14ac:dyDescent="0.25">
      <c r="A21" s="463" t="s">
        <v>126</v>
      </c>
      <c r="B21" s="375">
        <v>68103500</v>
      </c>
      <c r="C21" s="366"/>
      <c r="D21" s="366"/>
      <c r="E21" s="366">
        <v>1435000</v>
      </c>
      <c r="F21" s="366"/>
      <c r="G21" s="366"/>
      <c r="H21" s="366"/>
      <c r="I21" s="376"/>
      <c r="J21" s="364">
        <f t="shared" si="0"/>
        <v>69538500</v>
      </c>
    </row>
    <row r="22" spans="1:10" s="66" customFormat="1" ht="13.5" thickBot="1" x14ac:dyDescent="0.25">
      <c r="A22" s="463" t="s">
        <v>331</v>
      </c>
      <c r="B22" s="375"/>
      <c r="C22" s="366"/>
      <c r="D22" s="366"/>
      <c r="E22" s="366">
        <v>686000</v>
      </c>
      <c r="F22" s="366"/>
      <c r="G22" s="366"/>
      <c r="H22" s="366"/>
      <c r="I22" s="376"/>
      <c r="J22" s="364">
        <f t="shared" si="0"/>
        <v>686000</v>
      </c>
    </row>
    <row r="23" spans="1:10" s="66" customFormat="1" ht="13.5" thickBot="1" x14ac:dyDescent="0.25">
      <c r="A23" s="463" t="s">
        <v>332</v>
      </c>
      <c r="B23" s="375">
        <v>282000</v>
      </c>
      <c r="C23" s="366"/>
      <c r="D23" s="366"/>
      <c r="E23" s="366"/>
      <c r="F23" s="366"/>
      <c r="G23" s="366"/>
      <c r="H23" s="366"/>
      <c r="I23" s="376"/>
      <c r="J23" s="364">
        <f t="shared" si="0"/>
        <v>282000</v>
      </c>
    </row>
    <row r="24" spans="1:10" ht="26.25" thickBot="1" x14ac:dyDescent="0.25">
      <c r="A24" s="382" t="s">
        <v>221</v>
      </c>
      <c r="B24" s="371">
        <v>3500000</v>
      </c>
      <c r="C24" s="215"/>
      <c r="D24" s="251"/>
      <c r="E24" s="215"/>
      <c r="F24" s="251"/>
      <c r="G24" s="215"/>
      <c r="H24" s="251"/>
      <c r="I24" s="372"/>
      <c r="J24" s="364">
        <f>SUM(B24:I24)</f>
        <v>3500000</v>
      </c>
    </row>
    <row r="25" spans="1:10" ht="30" customHeight="1" thickBot="1" x14ac:dyDescent="0.25">
      <c r="A25" s="247" t="s">
        <v>100</v>
      </c>
      <c r="B25" s="373"/>
      <c r="C25" s="165"/>
      <c r="D25" s="165">
        <v>150629512</v>
      </c>
      <c r="E25" s="165"/>
      <c r="F25" s="165"/>
      <c r="G25" s="165"/>
      <c r="H25" s="165"/>
      <c r="I25" s="374"/>
      <c r="J25" s="363">
        <f t="shared" si="0"/>
        <v>150629512</v>
      </c>
    </row>
    <row r="26" spans="1:10" s="134" customFormat="1" ht="13.5" thickBot="1" x14ac:dyDescent="0.25">
      <c r="A26" s="249" t="s">
        <v>13</v>
      </c>
      <c r="B26" s="365">
        <f t="shared" ref="B26:J26" si="1">SUM(B8:B25)</f>
        <v>903707372</v>
      </c>
      <c r="C26" s="365">
        <f t="shared" si="1"/>
        <v>214987076</v>
      </c>
      <c r="D26" s="365">
        <f t="shared" si="1"/>
        <v>150629512</v>
      </c>
      <c r="E26" s="365">
        <f t="shared" si="1"/>
        <v>144229809</v>
      </c>
      <c r="F26" s="365">
        <f t="shared" si="1"/>
        <v>46659567</v>
      </c>
      <c r="G26" s="365">
        <f t="shared" si="1"/>
        <v>20955816</v>
      </c>
      <c r="H26" s="365">
        <f t="shared" si="1"/>
        <v>0</v>
      </c>
      <c r="I26" s="365">
        <f t="shared" si="1"/>
        <v>187628949</v>
      </c>
      <c r="J26" s="339">
        <f t="shared" si="1"/>
        <v>1668798101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&amp;R3. sz. melléklete
......../2025. VIII.28.)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Layout" topLeftCell="B1" zoomScaleNormal="100" workbookViewId="0">
      <selection activeCell="B12" sqref="B12:J1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62" t="s">
        <v>330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86.25" customHeight="1" thickBot="1" x14ac:dyDescent="0.25">
      <c r="A6" s="663" t="s">
        <v>96</v>
      </c>
      <c r="B6" s="337" t="s">
        <v>77</v>
      </c>
      <c r="C6" s="377" t="s">
        <v>81</v>
      </c>
      <c r="D6" s="337" t="s">
        <v>94</v>
      </c>
      <c r="E6" s="337" t="s">
        <v>75</v>
      </c>
      <c r="F6" s="337" t="s">
        <v>95</v>
      </c>
      <c r="G6" s="337" t="s">
        <v>92</v>
      </c>
      <c r="H6" s="337" t="s">
        <v>83</v>
      </c>
      <c r="I6" s="337" t="s">
        <v>90</v>
      </c>
      <c r="J6" s="338" t="s">
        <v>13</v>
      </c>
    </row>
    <row r="7" spans="1:10" ht="25.5" customHeight="1" thickBot="1" x14ac:dyDescent="0.25">
      <c r="A7" s="664"/>
      <c r="B7" s="132" t="s">
        <v>264</v>
      </c>
      <c r="C7" s="132" t="s">
        <v>264</v>
      </c>
      <c r="D7" s="132" t="s">
        <v>264</v>
      </c>
      <c r="E7" s="132" t="s">
        <v>264</v>
      </c>
      <c r="F7" s="132" t="s">
        <v>264</v>
      </c>
      <c r="G7" s="132" t="s">
        <v>264</v>
      </c>
      <c r="H7" s="132" t="s">
        <v>264</v>
      </c>
      <c r="I7" s="132" t="s">
        <v>264</v>
      </c>
      <c r="J7" s="132" t="s">
        <v>264</v>
      </c>
    </row>
    <row r="8" spans="1:10" s="66" customFormat="1" ht="13.5" thickBot="1" x14ac:dyDescent="0.25">
      <c r="A8" s="388" t="s">
        <v>98</v>
      </c>
      <c r="B8" s="375">
        <v>2450000</v>
      </c>
      <c r="C8" s="366"/>
      <c r="D8" s="366"/>
      <c r="E8" s="366"/>
      <c r="F8" s="366"/>
      <c r="G8" s="366"/>
      <c r="H8" s="366"/>
      <c r="I8" s="376"/>
      <c r="J8" s="364">
        <f t="shared" ref="J8:J11" si="0">SUM(B8:I8)</f>
        <v>2450000</v>
      </c>
    </row>
    <row r="9" spans="1:10" s="66" customFormat="1" ht="13.5" thickBot="1" x14ac:dyDescent="0.25">
      <c r="A9" s="463" t="s">
        <v>256</v>
      </c>
      <c r="B9" s="375">
        <v>6444900</v>
      </c>
      <c r="C9" s="366"/>
      <c r="D9" s="366"/>
      <c r="E9" s="366">
        <v>381000</v>
      </c>
      <c r="F9" s="366"/>
      <c r="G9" s="366"/>
      <c r="H9" s="366"/>
      <c r="I9" s="376"/>
      <c r="J9" s="364">
        <f t="shared" si="0"/>
        <v>6825900</v>
      </c>
    </row>
    <row r="10" spans="1:10" ht="13.5" thickBot="1" x14ac:dyDescent="0.25">
      <c r="A10" s="248" t="s">
        <v>101</v>
      </c>
      <c r="B10" s="371"/>
      <c r="C10" s="215"/>
      <c r="D10" s="251"/>
      <c r="E10" s="215">
        <v>8000</v>
      </c>
      <c r="F10" s="251"/>
      <c r="G10" s="251"/>
      <c r="H10" s="251"/>
      <c r="I10" s="372"/>
      <c r="J10" s="364">
        <f t="shared" si="0"/>
        <v>8000</v>
      </c>
    </row>
    <row r="11" spans="1:10" s="66" customFormat="1" ht="13.5" thickBot="1" x14ac:dyDescent="0.25">
      <c r="A11" s="248" t="s">
        <v>229</v>
      </c>
      <c r="B11" s="442"/>
      <c r="C11" s="217"/>
      <c r="D11" s="443"/>
      <c r="E11" s="217"/>
      <c r="F11" s="443"/>
      <c r="G11" s="217">
        <v>3000000</v>
      </c>
      <c r="H11" s="443"/>
      <c r="I11" s="444"/>
      <c r="J11" s="441">
        <f t="shared" si="0"/>
        <v>3000000</v>
      </c>
    </row>
    <row r="12" spans="1:10" s="345" customFormat="1" ht="13.5" thickBot="1" x14ac:dyDescent="0.25">
      <c r="A12" s="389" t="s">
        <v>13</v>
      </c>
      <c r="B12" s="390">
        <f>SUM(B8:B11)</f>
        <v>8894900</v>
      </c>
      <c r="C12" s="390">
        <f t="shared" ref="C12:J12" si="1">SUM(C8:C11)</f>
        <v>0</v>
      </c>
      <c r="D12" s="390">
        <f t="shared" si="1"/>
        <v>0</v>
      </c>
      <c r="E12" s="390">
        <f t="shared" si="1"/>
        <v>389000</v>
      </c>
      <c r="F12" s="390">
        <f t="shared" si="1"/>
        <v>0</v>
      </c>
      <c r="G12" s="390">
        <f t="shared" si="1"/>
        <v>3000000</v>
      </c>
      <c r="H12" s="390">
        <f t="shared" si="1"/>
        <v>0</v>
      </c>
      <c r="I12" s="390">
        <f t="shared" si="1"/>
        <v>0</v>
      </c>
      <c r="J12" s="390">
        <f t="shared" si="1"/>
        <v>12283900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  <headerFooter>
    <oddHeader xml:space="preserve">&amp;R4. sz. melléklet
......../2025.(VIII.28.) Egyek Önk.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Layout" zoomScaleNormal="100" workbookViewId="0">
      <selection activeCell="F18" sqref="F1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6" customWidth="1"/>
  </cols>
  <sheetData>
    <row r="1" spans="1:10" ht="15.75" customHeight="1" x14ac:dyDescent="0.2">
      <c r="A1" s="662" t="s">
        <v>315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ht="15.75" customHeight="1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51.75" thickBot="1" x14ac:dyDescent="0.25">
      <c r="A6" s="663" t="s">
        <v>96</v>
      </c>
      <c r="B6" s="108" t="s">
        <v>77</v>
      </c>
      <c r="C6" s="108" t="s">
        <v>81</v>
      </c>
      <c r="D6" s="108" t="s">
        <v>94</v>
      </c>
      <c r="E6" s="108" t="s">
        <v>75</v>
      </c>
      <c r="F6" s="108" t="s">
        <v>95</v>
      </c>
      <c r="G6" s="108" t="s">
        <v>92</v>
      </c>
      <c r="H6" s="108" t="s">
        <v>83</v>
      </c>
      <c r="I6" s="108" t="s">
        <v>90</v>
      </c>
      <c r="J6" s="109" t="s">
        <v>13</v>
      </c>
    </row>
    <row r="7" spans="1:10" ht="13.5" thickBot="1" x14ac:dyDescent="0.25">
      <c r="A7" s="665"/>
      <c r="B7" s="524" t="s">
        <v>316</v>
      </c>
      <c r="C7" s="524" t="s">
        <v>316</v>
      </c>
      <c r="D7" s="524" t="s">
        <v>316</v>
      </c>
      <c r="E7" s="524" t="s">
        <v>316</v>
      </c>
      <c r="F7" s="524" t="s">
        <v>316</v>
      </c>
      <c r="G7" s="524" t="s">
        <v>316</v>
      </c>
      <c r="H7" s="524" t="s">
        <v>316</v>
      </c>
      <c r="I7" s="524" t="s">
        <v>316</v>
      </c>
      <c r="J7" s="524" t="s">
        <v>316</v>
      </c>
    </row>
    <row r="8" spans="1:10" ht="31.5" customHeight="1" thickBot="1" x14ac:dyDescent="0.25">
      <c r="A8" s="515" t="s">
        <v>104</v>
      </c>
      <c r="B8" s="518"/>
      <c r="C8" s="519"/>
      <c r="D8" s="519"/>
      <c r="E8" s="519">
        <v>408000</v>
      </c>
      <c r="F8" s="519"/>
      <c r="G8" s="519"/>
      <c r="H8" s="519"/>
      <c r="I8" s="520">
        <v>232077882</v>
      </c>
      <c r="J8" s="525">
        <f>SUM(B8:I8)</f>
        <v>232485882</v>
      </c>
    </row>
    <row r="9" spans="1:10" ht="49.5" customHeight="1" thickBot="1" x14ac:dyDescent="0.25">
      <c r="A9" s="516" t="s">
        <v>205</v>
      </c>
      <c r="B9" s="521"/>
      <c r="C9" s="522"/>
      <c r="D9" s="522"/>
      <c r="E9" s="522"/>
      <c r="F9" s="522"/>
      <c r="G9" s="522"/>
      <c r="H9" s="522"/>
      <c r="I9" s="523">
        <v>195188</v>
      </c>
      <c r="J9" s="517">
        <f t="shared" ref="J9" si="0">SUM(B9:I9)</f>
        <v>195188</v>
      </c>
    </row>
    <row r="10" spans="1:10" ht="32.25" customHeight="1" thickBot="1" x14ac:dyDescent="0.25">
      <c r="A10" s="512" t="s">
        <v>13</v>
      </c>
      <c r="B10" s="513">
        <f t="shared" ref="B10:J10" si="1">SUM(B8:B9)</f>
        <v>0</v>
      </c>
      <c r="C10" s="513">
        <f t="shared" si="1"/>
        <v>0</v>
      </c>
      <c r="D10" s="513">
        <f t="shared" si="1"/>
        <v>0</v>
      </c>
      <c r="E10" s="513">
        <f t="shared" si="1"/>
        <v>408000</v>
      </c>
      <c r="F10" s="513">
        <f t="shared" si="1"/>
        <v>0</v>
      </c>
      <c r="G10" s="513">
        <f t="shared" si="1"/>
        <v>0</v>
      </c>
      <c r="H10" s="513">
        <f t="shared" si="1"/>
        <v>0</v>
      </c>
      <c r="I10" s="513">
        <f t="shared" si="1"/>
        <v>232273070</v>
      </c>
      <c r="J10" s="133">
        <f t="shared" si="1"/>
        <v>232681070</v>
      </c>
    </row>
  </sheetData>
  <mergeCells count="2">
    <mergeCell ref="A6:A7"/>
    <mergeCell ref="A1:J2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68" orientation="landscape" r:id="rId1"/>
  <headerFooter scaleWithDoc="0" alignWithMargins="0">
    <oddHeader>&amp;R5. sz. melléklete
........./2025. (VIII.28.)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Layout" zoomScaleNormal="100" workbookViewId="0">
      <selection activeCell="I16" sqref="I16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4.5703125" customWidth="1"/>
  </cols>
  <sheetData>
    <row r="1" spans="1:10" ht="15.75" customHeight="1" x14ac:dyDescent="0.2">
      <c r="A1" s="662" t="s">
        <v>389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ht="15.75" customHeight="1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51.75" thickBot="1" x14ac:dyDescent="0.25">
      <c r="A6" s="663" t="s">
        <v>96</v>
      </c>
      <c r="B6" s="108" t="s">
        <v>77</v>
      </c>
      <c r="C6" s="108" t="s">
        <v>81</v>
      </c>
      <c r="D6" s="108" t="s">
        <v>94</v>
      </c>
      <c r="E6" s="108" t="s">
        <v>75</v>
      </c>
      <c r="F6" s="108" t="s">
        <v>95</v>
      </c>
      <c r="G6" s="108" t="s">
        <v>92</v>
      </c>
      <c r="H6" s="108" t="s">
        <v>83</v>
      </c>
      <c r="I6" s="108" t="s">
        <v>90</v>
      </c>
      <c r="J6" s="109" t="s">
        <v>13</v>
      </c>
    </row>
    <row r="7" spans="1:10" ht="13.5" thickBot="1" x14ac:dyDescent="0.25">
      <c r="A7" s="665"/>
      <c r="B7" s="524" t="s">
        <v>316</v>
      </c>
      <c r="C7" s="524" t="s">
        <v>316</v>
      </c>
      <c r="D7" s="524" t="s">
        <v>316</v>
      </c>
      <c r="E7" s="524" t="s">
        <v>316</v>
      </c>
      <c r="F7" s="524" t="s">
        <v>316</v>
      </c>
      <c r="G7" s="524" t="s">
        <v>316</v>
      </c>
      <c r="H7" s="524" t="s">
        <v>316</v>
      </c>
      <c r="I7" s="524" t="s">
        <v>316</v>
      </c>
      <c r="J7" s="524" t="s">
        <v>316</v>
      </c>
    </row>
    <row r="8" spans="1:10" ht="31.5" customHeight="1" thickBot="1" x14ac:dyDescent="0.25">
      <c r="A8" s="515" t="s">
        <v>104</v>
      </c>
      <c r="B8" s="518"/>
      <c r="C8" s="519"/>
      <c r="D8" s="519"/>
      <c r="E8" s="519">
        <v>408000</v>
      </c>
      <c r="F8" s="519"/>
      <c r="G8" s="519"/>
      <c r="H8" s="519"/>
      <c r="I8" s="520">
        <v>232077882</v>
      </c>
      <c r="J8" s="525">
        <f>SUM(B8:I8)</f>
        <v>232485882</v>
      </c>
    </row>
    <row r="9" spans="1:10" ht="49.5" customHeight="1" thickBot="1" x14ac:dyDescent="0.25">
      <c r="A9" s="516" t="s">
        <v>205</v>
      </c>
      <c r="B9" s="521"/>
      <c r="C9" s="522"/>
      <c r="D9" s="522"/>
      <c r="E9" s="522"/>
      <c r="F9" s="522"/>
      <c r="G9" s="522"/>
      <c r="H9" s="522"/>
      <c r="I9" s="523">
        <v>195188</v>
      </c>
      <c r="J9" s="517">
        <f t="shared" ref="J9" si="0">SUM(B9:I9)</f>
        <v>195188</v>
      </c>
    </row>
    <row r="10" spans="1:10" ht="32.25" customHeight="1" thickBot="1" x14ac:dyDescent="0.25">
      <c r="A10" s="512" t="s">
        <v>13</v>
      </c>
      <c r="B10" s="513">
        <f t="shared" ref="B10:J10" si="1">SUM(B8:B9)</f>
        <v>0</v>
      </c>
      <c r="C10" s="513">
        <f t="shared" si="1"/>
        <v>0</v>
      </c>
      <c r="D10" s="513">
        <f t="shared" si="1"/>
        <v>0</v>
      </c>
      <c r="E10" s="513">
        <f t="shared" si="1"/>
        <v>408000</v>
      </c>
      <c r="F10" s="513">
        <f t="shared" si="1"/>
        <v>0</v>
      </c>
      <c r="G10" s="513">
        <f t="shared" si="1"/>
        <v>0</v>
      </c>
      <c r="H10" s="513">
        <f t="shared" si="1"/>
        <v>0</v>
      </c>
      <c r="I10" s="513">
        <f t="shared" si="1"/>
        <v>232273070</v>
      </c>
      <c r="J10" s="133">
        <f t="shared" si="1"/>
        <v>232681070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8" orientation="landscape" r:id="rId1"/>
  <headerFooter scaleWithDoc="0" alignWithMargins="0">
    <oddHeader>&amp;R6. sz. melléklete
......../2025.(VIII.28.)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Layout" zoomScaleNormal="120" workbookViewId="0">
      <selection activeCell="C19" sqref="C19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6.42578125" customWidth="1"/>
    <col min="10" max="10" width="17.5703125" customWidth="1"/>
  </cols>
  <sheetData>
    <row r="1" spans="1:10" ht="15.75" customHeight="1" x14ac:dyDescent="0.2">
      <c r="A1" s="662" t="s">
        <v>321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ht="12.75" customHeight="1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51.75" thickBot="1" x14ac:dyDescent="0.25">
      <c r="A6" s="663" t="s">
        <v>96</v>
      </c>
      <c r="B6" s="108" t="s">
        <v>77</v>
      </c>
      <c r="C6" s="108" t="s">
        <v>81</v>
      </c>
      <c r="D6" s="108" t="s">
        <v>94</v>
      </c>
      <c r="E6" s="108" t="s">
        <v>75</v>
      </c>
      <c r="F6" s="108" t="s">
        <v>95</v>
      </c>
      <c r="G6" s="108" t="s">
        <v>92</v>
      </c>
      <c r="H6" s="108" t="s">
        <v>83</v>
      </c>
      <c r="I6" s="108" t="s">
        <v>90</v>
      </c>
      <c r="J6" s="109" t="s">
        <v>13</v>
      </c>
    </row>
    <row r="7" spans="1:10" ht="13.5" thickBot="1" x14ac:dyDescent="0.25">
      <c r="A7" s="665"/>
      <c r="B7" s="524" t="s">
        <v>316</v>
      </c>
      <c r="C7" s="524" t="s">
        <v>316</v>
      </c>
      <c r="D7" s="524" t="s">
        <v>316</v>
      </c>
      <c r="E7" s="524" t="s">
        <v>316</v>
      </c>
      <c r="F7" s="524" t="s">
        <v>316</v>
      </c>
      <c r="G7" s="524" t="s">
        <v>316</v>
      </c>
      <c r="H7" s="524" t="s">
        <v>316</v>
      </c>
      <c r="I7" s="524" t="s">
        <v>316</v>
      </c>
      <c r="J7" s="524" t="s">
        <v>316</v>
      </c>
    </row>
    <row r="8" spans="1:10" x14ac:dyDescent="0.2">
      <c r="A8" s="538" t="s">
        <v>205</v>
      </c>
      <c r="B8" s="536"/>
      <c r="C8" s="530"/>
      <c r="D8" s="530"/>
      <c r="E8" s="530"/>
      <c r="F8" s="530"/>
      <c r="G8" s="530"/>
      <c r="H8" s="530"/>
      <c r="I8" s="531">
        <v>20909342</v>
      </c>
      <c r="J8" s="526">
        <f>SUM(B8:I8)</f>
        <v>20909342</v>
      </c>
    </row>
    <row r="9" spans="1:10" x14ac:dyDescent="0.2">
      <c r="A9" s="58" t="s">
        <v>106</v>
      </c>
      <c r="B9" s="514">
        <v>0</v>
      </c>
      <c r="C9" s="165">
        <v>0</v>
      </c>
      <c r="D9" s="165">
        <v>0</v>
      </c>
      <c r="E9" s="166">
        <v>935000</v>
      </c>
      <c r="F9" s="264">
        <v>0</v>
      </c>
      <c r="G9" s="264">
        <v>0</v>
      </c>
      <c r="H9" s="264">
        <v>0</v>
      </c>
      <c r="I9" s="532">
        <v>0</v>
      </c>
      <c r="J9" s="526">
        <f>SUM(B9:I9)</f>
        <v>935000</v>
      </c>
    </row>
    <row r="10" spans="1:10" ht="13.5" thickBot="1" x14ac:dyDescent="0.25">
      <c r="A10" s="269" t="s">
        <v>107</v>
      </c>
      <c r="B10" s="537">
        <v>0</v>
      </c>
      <c r="C10" s="522">
        <v>0</v>
      </c>
      <c r="D10" s="522">
        <v>0</v>
      </c>
      <c r="E10" s="533">
        <v>275237</v>
      </c>
      <c r="F10" s="534">
        <v>0</v>
      </c>
      <c r="G10" s="534">
        <v>0</v>
      </c>
      <c r="H10" s="534">
        <v>150000</v>
      </c>
      <c r="I10" s="535"/>
      <c r="J10" s="527">
        <f>SUM(B10:I10)</f>
        <v>425237</v>
      </c>
    </row>
    <row r="11" spans="1:10" s="76" customFormat="1" ht="13.5" thickBot="1" x14ac:dyDescent="0.25">
      <c r="A11" s="528" t="s">
        <v>62</v>
      </c>
      <c r="B11" s="529">
        <f t="shared" ref="B11:I11" si="0">SUM(B8:B10)</f>
        <v>0</v>
      </c>
      <c r="C11" s="529">
        <f t="shared" si="0"/>
        <v>0</v>
      </c>
      <c r="D11" s="529">
        <f t="shared" si="0"/>
        <v>0</v>
      </c>
      <c r="E11" s="529">
        <f t="shared" si="0"/>
        <v>1210237</v>
      </c>
      <c r="F11" s="529">
        <f t="shared" si="0"/>
        <v>0</v>
      </c>
      <c r="G11" s="529">
        <f t="shared" si="0"/>
        <v>0</v>
      </c>
      <c r="H11" s="529">
        <f t="shared" si="0"/>
        <v>150000</v>
      </c>
      <c r="I11" s="529">
        <f t="shared" si="0"/>
        <v>20909342</v>
      </c>
      <c r="J11" s="324">
        <f>SUM(B11:I11)</f>
        <v>22269579</v>
      </c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62" orientation="landscape" r:id="rId1"/>
  <headerFooter alignWithMargins="0">
    <oddHeader>&amp;R7. sz. melléklete
........./2025.(VIII.28.)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Layout" zoomScaleNormal="100" workbookViewId="0">
      <selection activeCell="F26" sqref="F26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7.42578125" customWidth="1"/>
  </cols>
  <sheetData>
    <row r="1" spans="1:10" ht="15.75" customHeight="1" x14ac:dyDescent="0.2">
      <c r="A1" s="662" t="s">
        <v>322</v>
      </c>
      <c r="B1" s="662"/>
      <c r="C1" s="662"/>
      <c r="D1" s="662"/>
      <c r="E1" s="662"/>
      <c r="F1" s="662"/>
      <c r="G1" s="662"/>
      <c r="H1" s="662"/>
      <c r="I1" s="662"/>
      <c r="J1" s="662"/>
    </row>
    <row r="2" spans="1:10" ht="12.75" customHeight="1" x14ac:dyDescent="0.2">
      <c r="A2" s="662"/>
      <c r="B2" s="662"/>
      <c r="C2" s="662"/>
      <c r="D2" s="662"/>
      <c r="E2" s="662"/>
      <c r="F2" s="662"/>
      <c r="G2" s="662"/>
      <c r="H2" s="662"/>
      <c r="I2" s="662"/>
      <c r="J2" s="662"/>
    </row>
    <row r="5" spans="1:10" ht="13.5" thickBot="1" x14ac:dyDescent="0.25"/>
    <row r="6" spans="1:10" ht="64.5" thickBot="1" x14ac:dyDescent="0.25">
      <c r="A6" s="663" t="s">
        <v>96</v>
      </c>
      <c r="B6" s="108" t="s">
        <v>77</v>
      </c>
      <c r="C6" s="108" t="s">
        <v>81</v>
      </c>
      <c r="D6" s="108" t="s">
        <v>94</v>
      </c>
      <c r="E6" s="108" t="s">
        <v>75</v>
      </c>
      <c r="F6" s="108" t="s">
        <v>95</v>
      </c>
      <c r="G6" s="108" t="s">
        <v>92</v>
      </c>
      <c r="H6" s="108" t="s">
        <v>83</v>
      </c>
      <c r="I6" s="108" t="s">
        <v>90</v>
      </c>
      <c r="J6" s="109" t="s">
        <v>13</v>
      </c>
    </row>
    <row r="7" spans="1:10" ht="13.5" thickBot="1" x14ac:dyDescent="0.25">
      <c r="A7" s="665"/>
      <c r="B7" s="524" t="s">
        <v>316</v>
      </c>
      <c r="C7" s="524" t="s">
        <v>316</v>
      </c>
      <c r="D7" s="524" t="s">
        <v>316</v>
      </c>
      <c r="E7" s="524" t="s">
        <v>316</v>
      </c>
      <c r="F7" s="524" t="s">
        <v>316</v>
      </c>
      <c r="G7" s="524" t="s">
        <v>316</v>
      </c>
      <c r="H7" s="524" t="s">
        <v>316</v>
      </c>
      <c r="I7" s="524" t="s">
        <v>316</v>
      </c>
      <c r="J7" s="524" t="s">
        <v>316</v>
      </c>
    </row>
    <row r="8" spans="1:10" x14ac:dyDescent="0.2">
      <c r="A8" s="538" t="s">
        <v>205</v>
      </c>
      <c r="B8" s="536"/>
      <c r="C8" s="530"/>
      <c r="D8" s="530"/>
      <c r="E8" s="530"/>
      <c r="F8" s="530"/>
      <c r="G8" s="530"/>
      <c r="H8" s="530"/>
      <c r="I8" s="531">
        <v>20909342</v>
      </c>
      <c r="J8" s="526">
        <f>SUM(B8:I8)</f>
        <v>20909342</v>
      </c>
    </row>
    <row r="9" spans="1:10" x14ac:dyDescent="0.2">
      <c r="A9" s="58" t="s">
        <v>106</v>
      </c>
      <c r="B9" s="514">
        <v>0</v>
      </c>
      <c r="C9" s="165">
        <v>0</v>
      </c>
      <c r="D9" s="165">
        <v>0</v>
      </c>
      <c r="E9" s="166">
        <v>935000</v>
      </c>
      <c r="F9" s="264">
        <v>0</v>
      </c>
      <c r="G9" s="264">
        <v>0</v>
      </c>
      <c r="H9" s="264">
        <v>0</v>
      </c>
      <c r="I9" s="532">
        <v>0</v>
      </c>
      <c r="J9" s="526">
        <f>SUM(B9:I9)</f>
        <v>935000</v>
      </c>
    </row>
    <row r="10" spans="1:10" ht="13.5" thickBot="1" x14ac:dyDescent="0.25">
      <c r="A10" s="269" t="s">
        <v>107</v>
      </c>
      <c r="B10" s="537">
        <v>0</v>
      </c>
      <c r="C10" s="522">
        <v>0</v>
      </c>
      <c r="D10" s="522">
        <v>0</v>
      </c>
      <c r="E10" s="533">
        <v>275237</v>
      </c>
      <c r="F10" s="534">
        <v>0</v>
      </c>
      <c r="G10" s="534">
        <v>0</v>
      </c>
      <c r="H10" s="534">
        <v>150000</v>
      </c>
      <c r="I10" s="535"/>
      <c r="J10" s="527">
        <f>SUM(B10:I10)</f>
        <v>425237</v>
      </c>
    </row>
    <row r="11" spans="1:10" s="76" customFormat="1" ht="13.5" thickBot="1" x14ac:dyDescent="0.25">
      <c r="A11" s="528" t="s">
        <v>62</v>
      </c>
      <c r="B11" s="529">
        <f t="shared" ref="B11:I11" si="0">SUM(B8:B10)</f>
        <v>0</v>
      </c>
      <c r="C11" s="529">
        <f t="shared" si="0"/>
        <v>0</v>
      </c>
      <c r="D11" s="529">
        <f t="shared" si="0"/>
        <v>0</v>
      </c>
      <c r="E11" s="529">
        <f t="shared" si="0"/>
        <v>1210237</v>
      </c>
      <c r="F11" s="529">
        <f t="shared" si="0"/>
        <v>0</v>
      </c>
      <c r="G11" s="529">
        <f t="shared" si="0"/>
        <v>0</v>
      </c>
      <c r="H11" s="529">
        <f t="shared" si="0"/>
        <v>150000</v>
      </c>
      <c r="I11" s="529">
        <f t="shared" si="0"/>
        <v>20909342</v>
      </c>
      <c r="J11" s="324">
        <f>SUM(B11:I11)</f>
        <v>22269579</v>
      </c>
    </row>
    <row r="15" spans="1:10" ht="13.5" thickBot="1" x14ac:dyDescent="0.25"/>
    <row r="16" spans="1:10" ht="13.5" thickBot="1" x14ac:dyDescent="0.25">
      <c r="A16" s="325"/>
    </row>
  </sheetData>
  <mergeCells count="2">
    <mergeCell ref="A6:A7"/>
    <mergeCell ref="A1:J2"/>
  </mergeCells>
  <phoneticPr fontId="34" type="noConversion"/>
  <pageMargins left="0.75" right="0.75" top="1" bottom="1" header="0.5" footer="0.5"/>
  <pageSetup paperSize="9" scale="70" orientation="landscape" r:id="rId1"/>
  <headerFooter alignWithMargins="0">
    <oddHeader>&amp;R8 sz. melléklete
........./2025.VIII.28.)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K143"/>
  <sheetViews>
    <sheetView view="pageLayout" zoomScaleNormal="140" workbookViewId="0">
      <selection activeCell="J16" sqref="J16"/>
    </sheetView>
  </sheetViews>
  <sheetFormatPr defaultRowHeight="12.75" x14ac:dyDescent="0.2"/>
  <cols>
    <col min="1" max="1" width="12.7109375" bestFit="1" customWidth="1"/>
    <col min="2" max="2" width="15" customWidth="1"/>
    <col min="5" max="5" width="30.42578125" customWidth="1"/>
    <col min="6" max="6" width="11.28515625" style="98" customWidth="1"/>
    <col min="7" max="7" width="16.7109375" customWidth="1"/>
    <col min="8" max="8" width="17.85546875" style="94" customWidth="1"/>
    <col min="9" max="9" width="15.28515625" customWidth="1"/>
    <col min="10" max="10" width="15.42578125" style="501" customWidth="1"/>
    <col min="11" max="11" width="10.7109375" bestFit="1" customWidth="1"/>
    <col min="12" max="12" width="12" customWidth="1"/>
  </cols>
  <sheetData>
    <row r="1" spans="1:11" x14ac:dyDescent="0.2">
      <c r="F1" s="433"/>
    </row>
    <row r="2" spans="1:11" ht="15.75" x14ac:dyDescent="0.25">
      <c r="A2" s="683" t="s">
        <v>323</v>
      </c>
      <c r="B2" s="683"/>
      <c r="C2" s="683"/>
      <c r="D2" s="683"/>
      <c r="E2" s="683"/>
      <c r="F2" s="683"/>
      <c r="G2" s="683"/>
      <c r="H2" s="683"/>
    </row>
    <row r="3" spans="1:11" ht="13.5" thickBot="1" x14ac:dyDescent="0.25">
      <c r="F3" s="433"/>
    </row>
    <row r="4" spans="1:11" ht="13.5" customHeight="1" thickBot="1" x14ac:dyDescent="0.25">
      <c r="A4" s="690" t="s">
        <v>28</v>
      </c>
      <c r="B4" s="690"/>
      <c r="C4" s="690"/>
      <c r="D4" s="690"/>
      <c r="E4" s="690"/>
      <c r="F4" s="686" t="s">
        <v>324</v>
      </c>
      <c r="G4" s="686"/>
      <c r="H4" s="686"/>
      <c r="I4" s="13"/>
    </row>
    <row r="5" spans="1:11" ht="13.5" thickBot="1" x14ac:dyDescent="0.25">
      <c r="A5" s="690"/>
      <c r="B5" s="690"/>
      <c r="C5" s="690"/>
      <c r="D5" s="690"/>
      <c r="E5" s="690"/>
      <c r="F5" s="687" t="s">
        <v>16</v>
      </c>
      <c r="G5" s="688" t="s">
        <v>26</v>
      </c>
      <c r="H5" s="689"/>
      <c r="I5" s="8"/>
    </row>
    <row r="6" spans="1:11" ht="13.5" thickBot="1" x14ac:dyDescent="0.25">
      <c r="A6" s="690"/>
      <c r="B6" s="690"/>
      <c r="C6" s="690"/>
      <c r="D6" s="690"/>
      <c r="E6" s="690"/>
      <c r="F6" s="687"/>
      <c r="G6" s="17" t="s">
        <v>186</v>
      </c>
      <c r="H6" s="93" t="s">
        <v>27</v>
      </c>
      <c r="I6" s="8"/>
    </row>
    <row r="7" spans="1:11" s="144" customFormat="1" ht="15.75" thickBot="1" x14ac:dyDescent="0.3">
      <c r="A7" s="691" t="s">
        <v>67</v>
      </c>
      <c r="B7" s="692"/>
      <c r="C7" s="692"/>
      <c r="D7" s="692"/>
      <c r="E7" s="692"/>
      <c r="F7" s="692"/>
      <c r="G7" s="693"/>
      <c r="H7" s="142">
        <f>H16+H19+H21+H22</f>
        <v>334326368</v>
      </c>
      <c r="I7" s="143"/>
      <c r="J7" s="502"/>
    </row>
    <row r="8" spans="1:11" s="140" customFormat="1" ht="24.75" customHeight="1" x14ac:dyDescent="0.2">
      <c r="A8" s="684" t="s">
        <v>230</v>
      </c>
      <c r="B8" s="685"/>
      <c r="C8" s="685"/>
      <c r="D8" s="685"/>
      <c r="E8" s="685"/>
      <c r="F8" s="566"/>
      <c r="G8" s="567"/>
      <c r="H8" s="424">
        <f>158610884-10272512+11293992</f>
        <v>159632364</v>
      </c>
      <c r="I8" s="139"/>
      <c r="J8" s="503"/>
    </row>
    <row r="9" spans="1:11" s="140" customFormat="1" ht="13.15" customHeight="1" x14ac:dyDescent="0.2">
      <c r="A9" s="666" t="s">
        <v>325</v>
      </c>
      <c r="B9" s="667"/>
      <c r="C9" s="667"/>
      <c r="D9" s="667"/>
      <c r="E9" s="668"/>
      <c r="F9" s="611"/>
      <c r="G9" s="612"/>
      <c r="H9" s="613">
        <f>11420654+1105140</f>
        <v>12525794</v>
      </c>
      <c r="I9" s="139"/>
      <c r="J9" s="503"/>
    </row>
    <row r="10" spans="1:11" x14ac:dyDescent="0.2">
      <c r="A10" s="669" t="s">
        <v>238</v>
      </c>
      <c r="B10" s="670"/>
      <c r="C10" s="670"/>
      <c r="D10" s="670"/>
      <c r="E10" s="670"/>
      <c r="F10" s="117"/>
      <c r="G10" s="167"/>
      <c r="H10" s="614">
        <v>13538802</v>
      </c>
      <c r="I10" s="6"/>
    </row>
    <row r="11" spans="1:11" x14ac:dyDescent="0.2">
      <c r="A11" s="695" t="s">
        <v>239</v>
      </c>
      <c r="B11" s="696"/>
      <c r="C11" s="696"/>
      <c r="D11" s="696"/>
      <c r="E11" s="697"/>
      <c r="F11" s="117"/>
      <c r="G11" s="167"/>
      <c r="H11" s="614">
        <f>13366500+12240000</f>
        <v>25606500</v>
      </c>
      <c r="I11" s="6"/>
    </row>
    <row r="12" spans="1:11" x14ac:dyDescent="0.2">
      <c r="A12" s="669" t="s">
        <v>240</v>
      </c>
      <c r="B12" s="670"/>
      <c r="C12" s="670"/>
      <c r="D12" s="670"/>
      <c r="E12" s="670"/>
      <c r="F12" s="117"/>
      <c r="G12" s="167"/>
      <c r="H12" s="614">
        <v>3337869</v>
      </c>
      <c r="I12" s="6"/>
    </row>
    <row r="13" spans="1:11" x14ac:dyDescent="0.2">
      <c r="A13" s="669" t="s">
        <v>241</v>
      </c>
      <c r="B13" s="670"/>
      <c r="C13" s="670"/>
      <c r="D13" s="670"/>
      <c r="E13" s="670"/>
      <c r="F13" s="117"/>
      <c r="G13" s="167"/>
      <c r="H13" s="614">
        <v>11261602</v>
      </c>
      <c r="I13" s="6"/>
    </row>
    <row r="14" spans="1:11" s="76" customFormat="1" ht="13.5" x14ac:dyDescent="0.25">
      <c r="A14" s="679" t="s">
        <v>231</v>
      </c>
      <c r="B14" s="680"/>
      <c r="C14" s="680"/>
      <c r="D14" s="680"/>
      <c r="E14" s="680"/>
      <c r="F14" s="422"/>
      <c r="G14" s="423"/>
      <c r="H14" s="615">
        <v>19152881</v>
      </c>
      <c r="I14" s="141"/>
      <c r="J14" s="504"/>
      <c r="K14" s="352"/>
    </row>
    <row r="15" spans="1:11" s="76" customFormat="1" ht="13.5" x14ac:dyDescent="0.25">
      <c r="A15" s="679" t="s">
        <v>232</v>
      </c>
      <c r="B15" s="680"/>
      <c r="C15" s="680"/>
      <c r="D15" s="680"/>
      <c r="E15" s="680"/>
      <c r="F15" s="422"/>
      <c r="G15" s="423"/>
      <c r="H15" s="615">
        <v>260685</v>
      </c>
      <c r="I15" s="141"/>
      <c r="J15" s="504"/>
      <c r="K15" s="352"/>
    </row>
    <row r="16" spans="1:11" s="76" customFormat="1" ht="26.25" customHeight="1" thickBot="1" x14ac:dyDescent="0.3">
      <c r="A16" s="681" t="s">
        <v>237</v>
      </c>
      <c r="B16" s="682"/>
      <c r="C16" s="682"/>
      <c r="D16" s="682"/>
      <c r="E16" s="682"/>
      <c r="F16" s="682"/>
      <c r="G16" s="682"/>
      <c r="H16" s="616">
        <f>H8+H10+H11+H12+H13+H14+H15+H9</f>
        <v>245316497</v>
      </c>
      <c r="I16" s="141"/>
      <c r="J16" s="504"/>
    </row>
    <row r="17" spans="1:10" s="76" customFormat="1" ht="28.5" customHeight="1" x14ac:dyDescent="0.25">
      <c r="A17" s="677" t="s">
        <v>252</v>
      </c>
      <c r="B17" s="678"/>
      <c r="C17" s="678"/>
      <c r="D17" s="678"/>
      <c r="E17" s="678"/>
      <c r="F17" s="426"/>
      <c r="G17" s="427"/>
      <c r="H17" s="617">
        <v>61756355</v>
      </c>
      <c r="I17" s="141"/>
      <c r="J17" s="609"/>
    </row>
    <row r="18" spans="1:10" s="76" customFormat="1" ht="13.5" x14ac:dyDescent="0.25">
      <c r="A18" s="675" t="s">
        <v>234</v>
      </c>
      <c r="B18" s="676"/>
      <c r="C18" s="676"/>
      <c r="D18" s="676"/>
      <c r="E18" s="676"/>
      <c r="F18" s="422" t="s">
        <v>108</v>
      </c>
      <c r="G18" s="425">
        <v>6343500</v>
      </c>
      <c r="H18" s="618">
        <v>6343500</v>
      </c>
      <c r="I18" s="141"/>
      <c r="J18" s="609"/>
    </row>
    <row r="19" spans="1:10" s="76" customFormat="1" ht="32.25" customHeight="1" thickBot="1" x14ac:dyDescent="0.3">
      <c r="A19" s="673" t="s">
        <v>235</v>
      </c>
      <c r="B19" s="674"/>
      <c r="C19" s="674"/>
      <c r="D19" s="674"/>
      <c r="E19" s="674"/>
      <c r="F19" s="674"/>
      <c r="G19" s="674"/>
      <c r="H19" s="619">
        <f>SUM(H17:H18)</f>
        <v>68099855</v>
      </c>
      <c r="I19" s="141"/>
      <c r="J19" s="609"/>
    </row>
    <row r="20" spans="1:10" s="76" customFormat="1" ht="16.5" customHeight="1" x14ac:dyDescent="0.25">
      <c r="A20" s="671" t="s">
        <v>233</v>
      </c>
      <c r="B20" s="672"/>
      <c r="C20" s="672"/>
      <c r="D20" s="672"/>
      <c r="E20" s="672"/>
      <c r="F20" s="428">
        <v>13624</v>
      </c>
      <c r="G20" s="429">
        <v>570</v>
      </c>
      <c r="H20" s="620">
        <f>F20*G20</f>
        <v>7765680</v>
      </c>
      <c r="I20" s="141"/>
      <c r="J20" s="609"/>
    </row>
    <row r="21" spans="1:10" s="76" customFormat="1" ht="34.5" customHeight="1" x14ac:dyDescent="0.25">
      <c r="A21" s="673" t="s">
        <v>236</v>
      </c>
      <c r="B21" s="674"/>
      <c r="C21" s="674"/>
      <c r="D21" s="674"/>
      <c r="E21" s="674"/>
      <c r="F21" s="674"/>
      <c r="G21" s="674"/>
      <c r="H21" s="619">
        <f>SUM(H20)</f>
        <v>7765680</v>
      </c>
      <c r="I21" s="141"/>
      <c r="J21" s="504"/>
    </row>
    <row r="22" spans="1:10" ht="27" customHeight="1" x14ac:dyDescent="0.2">
      <c r="A22" s="694" t="s">
        <v>253</v>
      </c>
      <c r="B22" s="694"/>
      <c r="C22" s="694"/>
      <c r="D22" s="694"/>
      <c r="E22" s="694"/>
      <c r="F22" s="621">
        <v>5286</v>
      </c>
      <c r="G22" s="425">
        <v>2213</v>
      </c>
      <c r="H22" s="622">
        <f>F22*G22+1446418</f>
        <v>13144336</v>
      </c>
      <c r="I22" s="6"/>
    </row>
    <row r="23" spans="1:10" x14ac:dyDescent="0.2">
      <c r="A23" s="15"/>
      <c r="B23" s="5"/>
      <c r="C23" s="7"/>
      <c r="D23" s="5"/>
      <c r="E23" s="5"/>
      <c r="F23" s="100"/>
      <c r="G23" s="6"/>
      <c r="H23" s="608"/>
      <c r="I23" s="6"/>
    </row>
    <row r="24" spans="1:10" x14ac:dyDescent="0.2">
      <c r="A24" s="15"/>
      <c r="B24" s="5"/>
      <c r="C24" s="5"/>
      <c r="D24" s="5"/>
      <c r="E24" s="5"/>
      <c r="F24" s="100"/>
      <c r="G24" s="6"/>
      <c r="H24" s="608"/>
      <c r="I24" s="6"/>
    </row>
    <row r="25" spans="1:10" x14ac:dyDescent="0.2">
      <c r="A25" s="15"/>
      <c r="B25" s="10"/>
      <c r="C25" s="10"/>
      <c r="D25" s="10"/>
      <c r="E25" s="10"/>
      <c r="F25" s="101"/>
      <c r="G25" s="11"/>
      <c r="H25" s="608"/>
      <c r="I25" s="11"/>
    </row>
    <row r="26" spans="1:10" x14ac:dyDescent="0.2">
      <c r="A26" s="15"/>
      <c r="B26" s="10"/>
      <c r="C26" s="5"/>
      <c r="D26" s="5"/>
      <c r="E26" s="5"/>
      <c r="F26" s="100"/>
      <c r="G26" s="6"/>
      <c r="H26" s="608"/>
      <c r="I26" s="6"/>
    </row>
    <row r="27" spans="1:10" x14ac:dyDescent="0.2">
      <c r="A27" s="15"/>
      <c r="B27" s="10"/>
      <c r="C27" s="10"/>
      <c r="D27" s="10"/>
      <c r="E27" s="10"/>
      <c r="F27" s="101"/>
      <c r="G27" s="11"/>
      <c r="H27" s="608"/>
      <c r="I27" s="11"/>
    </row>
    <row r="28" spans="1:10" x14ac:dyDescent="0.2">
      <c r="A28" s="16"/>
      <c r="B28" s="5"/>
      <c r="C28" s="5"/>
      <c r="D28" s="5"/>
      <c r="E28" s="5"/>
      <c r="F28" s="100"/>
      <c r="G28" s="6"/>
      <c r="H28" s="608"/>
      <c r="I28" s="6"/>
    </row>
    <row r="29" spans="1:10" x14ac:dyDescent="0.2">
      <c r="H29" s="608"/>
    </row>
    <row r="30" spans="1:10" x14ac:dyDescent="0.2">
      <c r="A30" s="246"/>
      <c r="B30" s="609"/>
      <c r="C30" s="246"/>
      <c r="D30" s="246"/>
      <c r="E30" s="246"/>
      <c r="F30" s="610"/>
      <c r="G30" s="246"/>
      <c r="H30" s="608"/>
    </row>
    <row r="31" spans="1:10" x14ac:dyDescent="0.2">
      <c r="A31" s="609"/>
      <c r="B31" s="246"/>
      <c r="C31" s="246"/>
      <c r="D31" s="246"/>
      <c r="E31" s="246"/>
      <c r="F31" s="610"/>
      <c r="G31" s="246"/>
      <c r="H31" s="608"/>
    </row>
    <row r="32" spans="1:10" x14ac:dyDescent="0.2">
      <c r="A32" s="246"/>
      <c r="B32" s="609"/>
      <c r="C32" s="246"/>
      <c r="D32" s="246"/>
      <c r="E32" s="246"/>
      <c r="F32" s="610"/>
      <c r="G32" s="246"/>
      <c r="H32" s="608"/>
    </row>
    <row r="33" spans="1:8" x14ac:dyDescent="0.2">
      <c r="A33" s="246"/>
      <c r="B33" s="609"/>
      <c r="C33" s="246"/>
      <c r="D33" s="246"/>
      <c r="E33" s="246"/>
      <c r="F33" s="610"/>
      <c r="G33" s="246"/>
      <c r="H33" s="608"/>
    </row>
    <row r="34" spans="1:8" x14ac:dyDescent="0.2">
      <c r="A34" s="246"/>
      <c r="B34" s="609"/>
      <c r="C34" s="246"/>
      <c r="D34" s="246"/>
      <c r="E34" s="246"/>
      <c r="F34" s="610"/>
      <c r="G34" s="246"/>
      <c r="H34" s="608"/>
    </row>
    <row r="35" spans="1:8" x14ac:dyDescent="0.2">
      <c r="A35" s="246"/>
      <c r="B35" s="609"/>
      <c r="C35" s="246"/>
      <c r="D35" s="246"/>
      <c r="E35" s="246"/>
      <c r="F35" s="610"/>
      <c r="G35" s="246"/>
      <c r="H35" s="608"/>
    </row>
    <row r="36" spans="1:8" x14ac:dyDescent="0.2">
      <c r="A36" s="246"/>
      <c r="B36" s="609"/>
      <c r="C36" s="246"/>
      <c r="D36" s="246"/>
      <c r="E36" s="246"/>
      <c r="F36" s="610"/>
      <c r="G36" s="246"/>
      <c r="H36" s="608"/>
    </row>
    <row r="37" spans="1:8" x14ac:dyDescent="0.2">
      <c r="A37" s="246"/>
      <c r="B37" s="246"/>
      <c r="C37" s="246"/>
      <c r="D37" s="246"/>
      <c r="E37" s="246"/>
      <c r="F37" s="610"/>
      <c r="G37" s="246"/>
      <c r="H37" s="608"/>
    </row>
    <row r="38" spans="1:8" x14ac:dyDescent="0.2">
      <c r="A38" s="246"/>
      <c r="B38" s="246"/>
      <c r="C38" s="246"/>
      <c r="D38" s="246"/>
      <c r="E38" s="246"/>
      <c r="F38" s="610"/>
      <c r="G38" s="246"/>
      <c r="H38" s="608"/>
    </row>
    <row r="39" spans="1:8" x14ac:dyDescent="0.2">
      <c r="H39" s="608"/>
    </row>
    <row r="40" spans="1:8" x14ac:dyDescent="0.2">
      <c r="H40" s="608"/>
    </row>
    <row r="41" spans="1:8" x14ac:dyDescent="0.2">
      <c r="H41" s="608"/>
    </row>
    <row r="42" spans="1:8" x14ac:dyDescent="0.2">
      <c r="H42" s="608"/>
    </row>
    <row r="43" spans="1:8" x14ac:dyDescent="0.2">
      <c r="H43" s="608"/>
    </row>
    <row r="44" spans="1:8" x14ac:dyDescent="0.2">
      <c r="E44" s="609"/>
      <c r="H44" s="608"/>
    </row>
    <row r="45" spans="1:8" x14ac:dyDescent="0.2">
      <c r="E45" s="609"/>
      <c r="H45" s="608"/>
    </row>
    <row r="46" spans="1:8" x14ac:dyDescent="0.2">
      <c r="E46" s="609"/>
      <c r="H46" s="608"/>
    </row>
    <row r="47" spans="1:8" x14ac:dyDescent="0.2">
      <c r="E47" s="609"/>
      <c r="H47" s="608"/>
    </row>
    <row r="48" spans="1:8" x14ac:dyDescent="0.2">
      <c r="H48" s="608"/>
    </row>
    <row r="49" spans="8:8" x14ac:dyDescent="0.2">
      <c r="H49" s="608"/>
    </row>
    <row r="50" spans="8:8" x14ac:dyDescent="0.2">
      <c r="H50" s="608"/>
    </row>
    <row r="51" spans="8:8" x14ac:dyDescent="0.2">
      <c r="H51" s="608"/>
    </row>
    <row r="52" spans="8:8" x14ac:dyDescent="0.2">
      <c r="H52" s="608"/>
    </row>
    <row r="53" spans="8:8" x14ac:dyDescent="0.2">
      <c r="H53" s="608"/>
    </row>
    <row r="54" spans="8:8" x14ac:dyDescent="0.2">
      <c r="H54" s="608"/>
    </row>
    <row r="55" spans="8:8" x14ac:dyDescent="0.2">
      <c r="H55" s="608"/>
    </row>
    <row r="56" spans="8:8" x14ac:dyDescent="0.2">
      <c r="H56" s="608"/>
    </row>
    <row r="57" spans="8:8" x14ac:dyDescent="0.2">
      <c r="H57" s="608"/>
    </row>
    <row r="58" spans="8:8" x14ac:dyDescent="0.2">
      <c r="H58" s="608"/>
    </row>
    <row r="59" spans="8:8" x14ac:dyDescent="0.2">
      <c r="H59" s="608"/>
    </row>
    <row r="60" spans="8:8" x14ac:dyDescent="0.2">
      <c r="H60" s="608"/>
    </row>
    <row r="61" spans="8:8" x14ac:dyDescent="0.2">
      <c r="H61" s="608"/>
    </row>
    <row r="62" spans="8:8" x14ac:dyDescent="0.2">
      <c r="H62" s="608"/>
    </row>
    <row r="63" spans="8:8" x14ac:dyDescent="0.2">
      <c r="H63" s="608"/>
    </row>
    <row r="64" spans="8:8" x14ac:dyDescent="0.2">
      <c r="H64" s="608"/>
    </row>
    <row r="65" spans="8:8" x14ac:dyDescent="0.2">
      <c r="H65" s="608"/>
    </row>
    <row r="66" spans="8:8" x14ac:dyDescent="0.2">
      <c r="H66" s="608"/>
    </row>
    <row r="67" spans="8:8" x14ac:dyDescent="0.2">
      <c r="H67" s="608"/>
    </row>
    <row r="68" spans="8:8" x14ac:dyDescent="0.2">
      <c r="H68" s="608"/>
    </row>
    <row r="69" spans="8:8" x14ac:dyDescent="0.2">
      <c r="H69" s="608"/>
    </row>
    <row r="70" spans="8:8" x14ac:dyDescent="0.2">
      <c r="H70" s="608"/>
    </row>
    <row r="71" spans="8:8" x14ac:dyDescent="0.2">
      <c r="H71" s="608"/>
    </row>
    <row r="72" spans="8:8" x14ac:dyDescent="0.2">
      <c r="H72" s="608"/>
    </row>
    <row r="73" spans="8:8" x14ac:dyDescent="0.2">
      <c r="H73" s="608"/>
    </row>
    <row r="74" spans="8:8" x14ac:dyDescent="0.2">
      <c r="H74" s="608"/>
    </row>
    <row r="75" spans="8:8" x14ac:dyDescent="0.2">
      <c r="H75" s="608"/>
    </row>
    <row r="76" spans="8:8" x14ac:dyDescent="0.2">
      <c r="H76" s="608"/>
    </row>
    <row r="77" spans="8:8" x14ac:dyDescent="0.2">
      <c r="H77" s="608"/>
    </row>
    <row r="78" spans="8:8" x14ac:dyDescent="0.2">
      <c r="H78" s="608"/>
    </row>
    <row r="79" spans="8:8" x14ac:dyDescent="0.2">
      <c r="H79" s="608"/>
    </row>
    <row r="80" spans="8:8" x14ac:dyDescent="0.2">
      <c r="H80" s="608"/>
    </row>
    <row r="81" spans="8:8" x14ac:dyDescent="0.2">
      <c r="H81" s="608"/>
    </row>
    <row r="82" spans="8:8" x14ac:dyDescent="0.2">
      <c r="H82" s="608"/>
    </row>
    <row r="83" spans="8:8" x14ac:dyDescent="0.2">
      <c r="H83" s="608"/>
    </row>
    <row r="84" spans="8:8" x14ac:dyDescent="0.2">
      <c r="H84" s="608"/>
    </row>
    <row r="85" spans="8:8" x14ac:dyDescent="0.2">
      <c r="H85" s="608"/>
    </row>
    <row r="86" spans="8:8" x14ac:dyDescent="0.2">
      <c r="H86" s="608"/>
    </row>
    <row r="87" spans="8:8" x14ac:dyDescent="0.2">
      <c r="H87" s="608"/>
    </row>
    <row r="88" spans="8:8" x14ac:dyDescent="0.2">
      <c r="H88" s="608"/>
    </row>
    <row r="89" spans="8:8" x14ac:dyDescent="0.2">
      <c r="H89" s="608"/>
    </row>
    <row r="90" spans="8:8" x14ac:dyDescent="0.2">
      <c r="H90" s="608"/>
    </row>
    <row r="91" spans="8:8" x14ac:dyDescent="0.2">
      <c r="H91" s="608"/>
    </row>
    <row r="92" spans="8:8" x14ac:dyDescent="0.2">
      <c r="H92" s="608"/>
    </row>
    <row r="93" spans="8:8" x14ac:dyDescent="0.2">
      <c r="H93" s="608"/>
    </row>
    <row r="94" spans="8:8" x14ac:dyDescent="0.2">
      <c r="H94" s="608"/>
    </row>
    <row r="95" spans="8:8" x14ac:dyDescent="0.2">
      <c r="H95" s="608"/>
    </row>
    <row r="96" spans="8:8" x14ac:dyDescent="0.2">
      <c r="H96" s="608"/>
    </row>
    <row r="97" spans="8:8" x14ac:dyDescent="0.2">
      <c r="H97" s="608"/>
    </row>
    <row r="98" spans="8:8" x14ac:dyDescent="0.2">
      <c r="H98" s="608"/>
    </row>
    <row r="99" spans="8:8" x14ac:dyDescent="0.2">
      <c r="H99" s="608"/>
    </row>
    <row r="100" spans="8:8" x14ac:dyDescent="0.2">
      <c r="H100" s="608"/>
    </row>
    <row r="101" spans="8:8" x14ac:dyDescent="0.2">
      <c r="H101" s="608"/>
    </row>
    <row r="102" spans="8:8" x14ac:dyDescent="0.2">
      <c r="H102" s="608"/>
    </row>
    <row r="103" spans="8:8" x14ac:dyDescent="0.2">
      <c r="H103" s="608"/>
    </row>
    <row r="104" spans="8:8" x14ac:dyDescent="0.2">
      <c r="H104" s="608"/>
    </row>
    <row r="105" spans="8:8" x14ac:dyDescent="0.2">
      <c r="H105" s="608"/>
    </row>
    <row r="106" spans="8:8" x14ac:dyDescent="0.2">
      <c r="H106" s="608"/>
    </row>
    <row r="107" spans="8:8" x14ac:dyDescent="0.2">
      <c r="H107" s="608"/>
    </row>
    <row r="108" spans="8:8" x14ac:dyDescent="0.2">
      <c r="H108" s="608"/>
    </row>
    <row r="109" spans="8:8" x14ac:dyDescent="0.2">
      <c r="H109" s="608"/>
    </row>
    <row r="110" spans="8:8" x14ac:dyDescent="0.2">
      <c r="H110" s="608"/>
    </row>
    <row r="111" spans="8:8" x14ac:dyDescent="0.2">
      <c r="H111" s="608"/>
    </row>
    <row r="112" spans="8:8" x14ac:dyDescent="0.2">
      <c r="H112" s="608"/>
    </row>
    <row r="113" spans="8:8" x14ac:dyDescent="0.2">
      <c r="H113" s="608"/>
    </row>
    <row r="114" spans="8:8" x14ac:dyDescent="0.2">
      <c r="H114" s="608"/>
    </row>
    <row r="115" spans="8:8" x14ac:dyDescent="0.2">
      <c r="H115" s="608"/>
    </row>
    <row r="116" spans="8:8" x14ac:dyDescent="0.2">
      <c r="H116" s="608"/>
    </row>
    <row r="117" spans="8:8" x14ac:dyDescent="0.2">
      <c r="H117" s="608"/>
    </row>
    <row r="118" spans="8:8" x14ac:dyDescent="0.2">
      <c r="H118" s="608"/>
    </row>
    <row r="119" spans="8:8" x14ac:dyDescent="0.2">
      <c r="H119" s="608"/>
    </row>
    <row r="120" spans="8:8" x14ac:dyDescent="0.2">
      <c r="H120" s="608"/>
    </row>
    <row r="121" spans="8:8" x14ac:dyDescent="0.2">
      <c r="H121" s="608"/>
    </row>
    <row r="122" spans="8:8" x14ac:dyDescent="0.2">
      <c r="H122" s="608"/>
    </row>
    <row r="123" spans="8:8" x14ac:dyDescent="0.2">
      <c r="H123" s="608"/>
    </row>
    <row r="124" spans="8:8" x14ac:dyDescent="0.2">
      <c r="H124" s="608"/>
    </row>
    <row r="125" spans="8:8" x14ac:dyDescent="0.2">
      <c r="H125" s="608"/>
    </row>
    <row r="126" spans="8:8" x14ac:dyDescent="0.2">
      <c r="H126" s="608"/>
    </row>
    <row r="127" spans="8:8" x14ac:dyDescent="0.2">
      <c r="H127" s="608"/>
    </row>
    <row r="128" spans="8:8" x14ac:dyDescent="0.2">
      <c r="H128" s="608"/>
    </row>
    <row r="129" spans="8:8" x14ac:dyDescent="0.2">
      <c r="H129" s="608"/>
    </row>
    <row r="130" spans="8:8" x14ac:dyDescent="0.2">
      <c r="H130" s="608"/>
    </row>
    <row r="131" spans="8:8" x14ac:dyDescent="0.2">
      <c r="H131" s="608"/>
    </row>
    <row r="132" spans="8:8" x14ac:dyDescent="0.2">
      <c r="H132" s="608"/>
    </row>
    <row r="133" spans="8:8" x14ac:dyDescent="0.2">
      <c r="H133" s="608"/>
    </row>
    <row r="134" spans="8:8" x14ac:dyDescent="0.2">
      <c r="H134" s="608"/>
    </row>
    <row r="135" spans="8:8" x14ac:dyDescent="0.2">
      <c r="H135" s="608"/>
    </row>
    <row r="136" spans="8:8" x14ac:dyDescent="0.2">
      <c r="H136" s="608"/>
    </row>
    <row r="137" spans="8:8" x14ac:dyDescent="0.2">
      <c r="H137" s="608"/>
    </row>
    <row r="138" spans="8:8" x14ac:dyDescent="0.2">
      <c r="H138" s="608"/>
    </row>
    <row r="139" spans="8:8" x14ac:dyDescent="0.2">
      <c r="H139" s="608"/>
    </row>
    <row r="140" spans="8:8" x14ac:dyDescent="0.2">
      <c r="H140" s="608"/>
    </row>
    <row r="141" spans="8:8" x14ac:dyDescent="0.2">
      <c r="H141" s="608"/>
    </row>
    <row r="142" spans="8:8" x14ac:dyDescent="0.2">
      <c r="H142" s="608"/>
    </row>
    <row r="143" spans="8:8" x14ac:dyDescent="0.2">
      <c r="H143" s="608"/>
    </row>
  </sheetData>
  <mergeCells count="21">
    <mergeCell ref="A21:G21"/>
    <mergeCell ref="A22:E22"/>
    <mergeCell ref="A10:E10"/>
    <mergeCell ref="A11:E11"/>
    <mergeCell ref="A12:E12"/>
    <mergeCell ref="A2:H2"/>
    <mergeCell ref="A8:E8"/>
    <mergeCell ref="F4:H4"/>
    <mergeCell ref="F5:F6"/>
    <mergeCell ref="G5:H5"/>
    <mergeCell ref="A4:E6"/>
    <mergeCell ref="A7:G7"/>
    <mergeCell ref="A9:E9"/>
    <mergeCell ref="A13:E13"/>
    <mergeCell ref="A20:E20"/>
    <mergeCell ref="A19:G19"/>
    <mergeCell ref="A18:E18"/>
    <mergeCell ref="A17:E17"/>
    <mergeCell ref="A14:E14"/>
    <mergeCell ref="A15:E15"/>
    <mergeCell ref="A16:G16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75" orientation="portrait" r:id="rId1"/>
  <headerFooter alignWithMargins="0">
    <oddHeader xml:space="preserve">&amp;C
&amp;R9 sz. melléklet
......../2025.(VIII.28.)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14</vt:i4>
      </vt:variant>
    </vt:vector>
  </HeadingPairs>
  <TitlesOfParts>
    <vt:vector size="38" baseType="lpstr">
      <vt:lpstr>Bevétel 1.melléklet</vt:lpstr>
      <vt:lpstr>Bevétel Önkormányzat 2. </vt:lpstr>
      <vt:lpstr>Bevétel Önk.köt.fel.3.</vt:lpstr>
      <vt:lpstr>Bevétel önk.önként váll.4.</vt:lpstr>
      <vt:lpstr>Bevétel Polg.Hivatal 5. </vt:lpstr>
      <vt:lpstr>Bev. Polg.Hiv. köt.fel. 6.</vt:lpstr>
      <vt:lpstr>Bevétel Könyvtár-Műv.h. 7.</vt:lpstr>
      <vt:lpstr>Bev.Könyvt.Műv.h.köt.fel.8.</vt:lpstr>
      <vt:lpstr>Támogatás 9.</vt:lpstr>
      <vt:lpstr>Kiadások 10. m.</vt:lpstr>
      <vt:lpstr>önkormányzat kiadásai 11. </vt:lpstr>
      <vt:lpstr>önk.köt.fel.kiadásai 12.</vt:lpstr>
      <vt:lpstr>Önk.önként.váll.fel.kiad.13.</vt:lpstr>
      <vt:lpstr>Polg.Hivatal kiadásai 14.</vt:lpstr>
      <vt:lpstr>Polg.Hiv.köt.fel.kiad.15.mell.</vt:lpstr>
      <vt:lpstr>Könyvtár és Műv.H. kiadásai 16.</vt:lpstr>
      <vt:lpstr>Könyvt.és Műv.H.köt.fel.k.17.</vt:lpstr>
      <vt:lpstr>Működési kiadások 18.</vt:lpstr>
      <vt:lpstr>Felhalmozás 19.</vt:lpstr>
      <vt:lpstr>Mérleg 20. m.</vt:lpstr>
      <vt:lpstr>Előirányzat felh. 21.</vt:lpstr>
      <vt:lpstr>mérleg 22.mell.</vt:lpstr>
      <vt:lpstr>Tartalék 23. mell.</vt:lpstr>
      <vt:lpstr>Saját bevétel 50% 24.mell.</vt:lpstr>
      <vt:lpstr>'Támogatás 9.'!Nyomtatási_cím</vt:lpstr>
      <vt:lpstr>'Bev. Polg.Hiv. köt.fel. 6.'!Nyomtatási_terület</vt:lpstr>
      <vt:lpstr>Bev.Könyvt.Műv.h.köt.fel.8.!Nyomtatási_terület</vt:lpstr>
      <vt:lpstr>'Bevétel 1.melléklet'!Nyomtatási_terület</vt:lpstr>
      <vt:lpstr>'Bevétel Polg.Hivatal 5. '!Nyomtatási_terület</vt:lpstr>
      <vt:lpstr>'Kiadások 10. m.'!Nyomtatási_terület</vt:lpstr>
      <vt:lpstr>'Mérleg 20. m.'!Nyomtatási_terület</vt:lpstr>
      <vt:lpstr>'mérleg 22.mell.'!Nyomtatási_terület</vt:lpstr>
      <vt:lpstr>'önk.köt.fel.kiadásai 12.'!Nyomtatási_terület</vt:lpstr>
      <vt:lpstr>'önkormányzat kiadásai 11. '!Nyomtatási_terület</vt:lpstr>
      <vt:lpstr>Polg.Hiv.köt.fel.kiad.15.mell.!Nyomtatási_terület</vt:lpstr>
      <vt:lpstr>'Polg.Hivatal kiadásai 14.'!Nyomtatási_terület</vt:lpstr>
      <vt:lpstr>'Támogatás 9.'!Nyomtatási_terület</vt:lpstr>
      <vt:lpstr>'Tartalék 23. mell.'!Nyomtatási_terület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2025-08-19T06:38:48Z</cp:lastPrinted>
  <dcterms:created xsi:type="dcterms:W3CDTF">1999-11-19T07:39:00Z</dcterms:created>
  <dcterms:modified xsi:type="dcterms:W3CDTF">2025-08-19T06:39:25Z</dcterms:modified>
</cp:coreProperties>
</file>