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60" windowWidth="20490" windowHeight="7560" firstSheet="19" activeTab="22"/>
  </bookViews>
  <sheets>
    <sheet name="Bevétel 2.melléklet" sheetId="162" r:id="rId1"/>
    <sheet name="Bevétel Önkormányzat 3. " sheetId="99" r:id="rId2"/>
    <sheet name="Bevétel Önk.köt.fel. 4." sheetId="145" r:id="rId3"/>
    <sheet name="Bevétel önk.önként váll.5." sheetId="151" r:id="rId4"/>
    <sheet name="Bevétel Polg.Hivatal 6. " sheetId="100" r:id="rId5"/>
    <sheet name="Bev. Polg.Hiv. köt.fel. 7." sheetId="146" r:id="rId6"/>
    <sheet name="Bevétel Könyvtár-Műv.h. 8." sheetId="101" r:id="rId7"/>
    <sheet name="Bev.Könyvt.Műv.h.köt.fel.9." sheetId="119" r:id="rId8"/>
    <sheet name="Támogatás 10." sheetId="58" r:id="rId9"/>
    <sheet name="Kiadások 11. m." sheetId="163" r:id="rId10"/>
    <sheet name="önkormányzat kiadásai 12. " sheetId="159" r:id="rId11"/>
    <sheet name="önk.köt.fel.kiadásai 13." sheetId="147" r:id="rId12"/>
    <sheet name="Önk.önként.váll.fel.kiad.14." sheetId="150" r:id="rId13"/>
    <sheet name="Polg.Hivatal kiadásai 15." sheetId="73" r:id="rId14"/>
    <sheet name="Polg.Hiv.köt.fel.kiad.16.mell." sheetId="140" r:id="rId15"/>
    <sheet name="Könyvtár és Műv.H. kiadásai 17." sheetId="83" r:id="rId16"/>
    <sheet name="Könyvt.és Műv.H.köt.fel.k.18." sheetId="142" r:id="rId17"/>
    <sheet name="Működési kiadások 19." sheetId="72" r:id="rId18"/>
    <sheet name="Felhalmozás 20." sheetId="137" r:id="rId19"/>
    <sheet name="Többéves kih.21.m." sheetId="161" r:id="rId20"/>
    <sheet name="Mérleg 22. m." sheetId="164" r:id="rId21"/>
    <sheet name="Előirányzat felh. 23." sheetId="155" r:id="rId22"/>
    <sheet name="Közvetett tám.-k. 24. mell. " sheetId="160" r:id="rId23"/>
    <sheet name="mérleg 3 éves 25.mell." sheetId="165" r:id="rId24"/>
    <sheet name="Tartalék  26." sheetId="81" r:id="rId25"/>
    <sheet name="Eu-s pály. 27." sheetId="154" r:id="rId26"/>
    <sheet name="Adósságot keletk. 28." sheetId="153" r:id="rId27"/>
    <sheet name="Saját bevétel 50% 29." sheetId="158" r:id="rId28"/>
  </sheets>
  <definedNames>
    <definedName name="_xlnm.Print_Titles" localSheetId="8">'Támogatás 10.'!$4:$6</definedName>
    <definedName name="_xlnm.Print_Area" localSheetId="5">'Bev. Polg.Hiv. köt.fel. 7.'!$A$1:$J$9</definedName>
    <definedName name="_xlnm.Print_Area" localSheetId="7">Bev.Könyvt.Műv.h.köt.fel.9.!$A$1:$J$12</definedName>
    <definedName name="_xlnm.Print_Area" localSheetId="0">'Bevétel 2.melléklet'!$A$1:$I$46</definedName>
    <definedName name="_xlnm.Print_Area" localSheetId="4">'Bevétel Polg.Hivatal 6. '!$A$1:$J$11</definedName>
    <definedName name="_xlnm.Print_Area" localSheetId="9">'Kiadások 11. m.'!$A$1:$J$28</definedName>
    <definedName name="_xlnm.Print_Area" localSheetId="20">'Mérleg 22. m.'!$A$1:$F$68</definedName>
    <definedName name="_xlnm.Print_Area" localSheetId="23">'mérleg 3 éves 25.mell.'!$A$1:$I$37</definedName>
    <definedName name="_xlnm.Print_Area" localSheetId="11">'önk.köt.fel.kiadásai 13.'!$A$1:$L$26</definedName>
    <definedName name="_xlnm.Print_Area" localSheetId="10">'önkormányzat kiadásai 12. '!$A$1:$L$34</definedName>
    <definedName name="_xlnm.Print_Area" localSheetId="14">Polg.Hiv.köt.fel.kiad.16.mell.!$A$1:$L$11</definedName>
    <definedName name="_xlnm.Print_Area" localSheetId="13">'Polg.Hivatal kiadásai 15.'!$A$1:$L$12</definedName>
    <definedName name="_xlnm.Print_Area" localSheetId="8">'Támogatás 10.'!$A$4:$H$21</definedName>
    <definedName name="_xlnm.Print_Area" localSheetId="24">'Tartalék  26.'!$A$1:$H$17</definedName>
    <definedName name="_xlnm.Print_Area" localSheetId="19">'Többéves kih.21.m.'!$A$1:$I$53</definedName>
  </definedNames>
  <calcPr calcId="145621"/>
</workbook>
</file>

<file path=xl/calcChain.xml><?xml version="1.0" encoding="utf-8"?>
<calcChain xmlns="http://schemas.openxmlformats.org/spreadsheetml/2006/main">
  <c r="D27" i="160" l="1"/>
  <c r="I17" i="163" l="1"/>
  <c r="I46" i="162"/>
  <c r="C16" i="165" l="1"/>
  <c r="F41" i="164"/>
  <c r="H15" i="165" s="1"/>
  <c r="C17" i="163"/>
  <c r="I8" i="119"/>
  <c r="I8" i="101"/>
  <c r="I10" i="146"/>
  <c r="J10" i="146" s="1"/>
  <c r="I10" i="100"/>
  <c r="I11" i="146"/>
  <c r="H11" i="146"/>
  <c r="G11" i="146"/>
  <c r="F11" i="146"/>
  <c r="E11" i="146"/>
  <c r="D11" i="146"/>
  <c r="C11" i="146"/>
  <c r="B11" i="146"/>
  <c r="J9" i="146"/>
  <c r="J8" i="146"/>
  <c r="J9" i="100"/>
  <c r="F37" i="164" l="1"/>
  <c r="J11" i="146"/>
  <c r="G27" i="155"/>
  <c r="B27" i="155"/>
  <c r="C17" i="72"/>
  <c r="F10" i="159"/>
  <c r="G15" i="165" l="1"/>
  <c r="E37" i="164"/>
  <c r="E41" i="164"/>
  <c r="F18" i="165"/>
  <c r="B43" i="162"/>
  <c r="B42" i="162"/>
  <c r="G25" i="165" l="1"/>
  <c r="G22" i="165"/>
  <c r="G17" i="165"/>
  <c r="G12" i="165"/>
  <c r="G11" i="165"/>
  <c r="G10" i="165"/>
  <c r="G9" i="165"/>
  <c r="C29" i="165"/>
  <c r="C28" i="165"/>
  <c r="C27" i="165"/>
  <c r="C26" i="165"/>
  <c r="C17" i="165"/>
  <c r="C13" i="165"/>
  <c r="C12" i="165"/>
  <c r="C11" i="165"/>
  <c r="C10" i="165"/>
  <c r="C9" i="165"/>
  <c r="H18" i="163"/>
  <c r="H24" i="163"/>
  <c r="H27" i="163"/>
  <c r="E65" i="164"/>
  <c r="E60" i="164"/>
  <c r="E64" i="164"/>
  <c r="E63" i="164"/>
  <c r="E62" i="164"/>
  <c r="E61" i="164"/>
  <c r="E59" i="164"/>
  <c r="E58" i="164"/>
  <c r="E57" i="164"/>
  <c r="E53" i="164"/>
  <c r="E52" i="164"/>
  <c r="E51" i="164"/>
  <c r="E50" i="164"/>
  <c r="E49" i="164"/>
  <c r="E48" i="164"/>
  <c r="E40" i="164"/>
  <c r="E38" i="164"/>
  <c r="E32" i="164"/>
  <c r="E31" i="164"/>
  <c r="E30" i="164"/>
  <c r="E25" i="164"/>
  <c r="E23" i="164"/>
  <c r="E20" i="164"/>
  <c r="E19" i="164"/>
  <c r="F19" i="164"/>
  <c r="E18" i="164"/>
  <c r="E12" i="164"/>
  <c r="E11" i="164"/>
  <c r="E10" i="164"/>
  <c r="E9" i="164"/>
  <c r="D20" i="163"/>
  <c r="B24" i="163"/>
  <c r="B15" i="163"/>
  <c r="H46" i="162"/>
  <c r="H34" i="162"/>
  <c r="I30" i="162"/>
  <c r="H30" i="162"/>
  <c r="I29" i="162"/>
  <c r="H29" i="162"/>
  <c r="I27" i="162"/>
  <c r="H27" i="162"/>
  <c r="H25" i="162"/>
  <c r="I20" i="162"/>
  <c r="H20" i="162"/>
  <c r="I19" i="162"/>
  <c r="I18" i="162"/>
  <c r="H19" i="162"/>
  <c r="H18" i="162"/>
  <c r="H17" i="162"/>
  <c r="H16" i="162"/>
  <c r="H12" i="162"/>
  <c r="H11" i="162"/>
  <c r="H10" i="162"/>
  <c r="H9" i="162"/>
  <c r="H8" i="162"/>
  <c r="H7" i="162"/>
  <c r="F8" i="161" l="1"/>
  <c r="I21" i="161"/>
  <c r="I20" i="161"/>
  <c r="D6" i="161"/>
  <c r="D51" i="161"/>
  <c r="D50" i="161"/>
  <c r="D49" i="161"/>
  <c r="D48" i="161"/>
  <c r="D47" i="161"/>
  <c r="D45" i="161"/>
  <c r="D44" i="161"/>
  <c r="D43" i="161"/>
  <c r="D42" i="161"/>
  <c r="D41" i="161"/>
  <c r="D40" i="161"/>
  <c r="D37" i="161"/>
  <c r="D36" i="161"/>
  <c r="D35" i="161"/>
  <c r="D34" i="161"/>
  <c r="D33" i="161"/>
  <c r="D32" i="161"/>
  <c r="D31" i="161"/>
  <c r="D30" i="161"/>
  <c r="D29" i="161"/>
  <c r="D27" i="161"/>
  <c r="D26" i="161"/>
  <c r="D25" i="161"/>
  <c r="D22" i="161"/>
  <c r="D21" i="161"/>
  <c r="D20" i="161"/>
  <c r="D19" i="161"/>
  <c r="D18" i="161"/>
  <c r="D17" i="161"/>
  <c r="D16" i="161"/>
  <c r="D15" i="161"/>
  <c r="D14" i="161"/>
  <c r="D13" i="161"/>
  <c r="D12" i="161"/>
  <c r="D11" i="161"/>
  <c r="D10" i="161"/>
  <c r="D9" i="161" l="1"/>
  <c r="H24" i="165"/>
  <c r="H29" i="165"/>
  <c r="D12" i="165"/>
  <c r="D17" i="165"/>
  <c r="D14" i="165"/>
  <c r="N27" i="155"/>
  <c r="M27" i="155"/>
  <c r="L27" i="155"/>
  <c r="K27" i="155"/>
  <c r="J27" i="155"/>
  <c r="I27" i="155"/>
  <c r="H27" i="155"/>
  <c r="F27" i="155"/>
  <c r="E27" i="155"/>
  <c r="D27" i="155"/>
  <c r="C27" i="155"/>
  <c r="O33" i="155"/>
  <c r="C20" i="163"/>
  <c r="C21" i="163"/>
  <c r="D35" i="137"/>
  <c r="O26" i="155"/>
  <c r="C15" i="72"/>
  <c r="F54" i="164" l="1"/>
  <c r="B28" i="155" s="1"/>
  <c r="F51" i="164"/>
  <c r="F50" i="164"/>
  <c r="F49" i="164"/>
  <c r="F48" i="164"/>
  <c r="F62" i="164"/>
  <c r="F61" i="164" s="1"/>
  <c r="F55" i="164"/>
  <c r="C20" i="72"/>
  <c r="F26" i="72"/>
  <c r="C28" i="72"/>
  <c r="C15" i="163"/>
  <c r="C16" i="163"/>
  <c r="C23" i="163"/>
  <c r="C14" i="163"/>
  <c r="C24" i="147"/>
  <c r="C32" i="147" s="1"/>
  <c r="B24" i="147"/>
  <c r="B32" i="147" s="1"/>
  <c r="L11" i="150"/>
  <c r="L10" i="150"/>
  <c r="L13" i="150"/>
  <c r="J32" i="147"/>
  <c r="I32" i="147"/>
  <c r="H32" i="147"/>
  <c r="G32" i="147"/>
  <c r="F32" i="147"/>
  <c r="E32" i="147"/>
  <c r="D32" i="147"/>
  <c r="L31" i="147"/>
  <c r="L30" i="147"/>
  <c r="L29" i="147"/>
  <c r="L28" i="147"/>
  <c r="L27" i="147"/>
  <c r="L26" i="147"/>
  <c r="L25" i="147"/>
  <c r="L23" i="147"/>
  <c r="L22" i="147"/>
  <c r="L21" i="147"/>
  <c r="L20" i="147"/>
  <c r="L19" i="147"/>
  <c r="L18" i="147"/>
  <c r="L17" i="147"/>
  <c r="L16" i="147"/>
  <c r="L15" i="147"/>
  <c r="L14" i="147"/>
  <c r="L13" i="147"/>
  <c r="L11" i="147"/>
  <c r="L10" i="147"/>
  <c r="L9" i="147"/>
  <c r="L8" i="147"/>
  <c r="L25" i="159"/>
  <c r="L27" i="159"/>
  <c r="L24" i="147" l="1"/>
  <c r="D27" i="165"/>
  <c r="C17" i="155"/>
  <c r="D17" i="155"/>
  <c r="E17" i="155"/>
  <c r="I24" i="145"/>
  <c r="H24" i="145"/>
  <c r="G24" i="145"/>
  <c r="F24" i="145"/>
  <c r="E24" i="145"/>
  <c r="D24" i="145"/>
  <c r="C24" i="145"/>
  <c r="B24" i="145"/>
  <c r="J23" i="145"/>
  <c r="J22" i="145"/>
  <c r="J21" i="145"/>
  <c r="J20" i="145"/>
  <c r="J19" i="145"/>
  <c r="J18" i="145"/>
  <c r="J17" i="145"/>
  <c r="J16" i="145"/>
  <c r="J15" i="145"/>
  <c r="J14" i="145"/>
  <c r="J13" i="145"/>
  <c r="J12" i="145"/>
  <c r="J11" i="145"/>
  <c r="J10" i="145"/>
  <c r="J9" i="145"/>
  <c r="J8" i="145"/>
  <c r="J22" i="99"/>
  <c r="G15" i="153"/>
  <c r="D15" i="153"/>
  <c r="E15" i="153"/>
  <c r="F15" i="153"/>
  <c r="C15" i="153"/>
  <c r="J24" i="145" l="1"/>
  <c r="D8" i="158"/>
  <c r="E8" i="158" s="1"/>
  <c r="F8" i="158" s="1"/>
  <c r="C7" i="158"/>
  <c r="D7" i="158" s="1"/>
  <c r="E7" i="158" s="1"/>
  <c r="F7" i="158" s="1"/>
  <c r="H10" i="58"/>
  <c r="G24" i="163"/>
  <c r="G11" i="163"/>
  <c r="G10" i="163"/>
  <c r="G9" i="163"/>
  <c r="K10" i="142"/>
  <c r="J10" i="142"/>
  <c r="I10" i="142"/>
  <c r="H10" i="142"/>
  <c r="G10" i="142"/>
  <c r="F10" i="142"/>
  <c r="E10" i="142"/>
  <c r="D10" i="142"/>
  <c r="C10" i="142"/>
  <c r="B10" i="142"/>
  <c r="L9" i="142"/>
  <c r="L8" i="142"/>
  <c r="L10" i="142" s="1"/>
  <c r="I12" i="119"/>
  <c r="H12" i="119"/>
  <c r="G12" i="119"/>
  <c r="F12" i="119"/>
  <c r="D12" i="119"/>
  <c r="C12" i="119"/>
  <c r="B12" i="119"/>
  <c r="E11" i="119"/>
  <c r="J11" i="119" s="1"/>
  <c r="J10" i="119"/>
  <c r="J9" i="119"/>
  <c r="E8" i="119"/>
  <c r="E12" i="119" s="1"/>
  <c r="C12" i="101"/>
  <c r="D12" i="101"/>
  <c r="F12" i="101"/>
  <c r="G12" i="101"/>
  <c r="H12" i="101"/>
  <c r="I12" i="101"/>
  <c r="B12" i="101"/>
  <c r="E8" i="101"/>
  <c r="J8" i="101"/>
  <c r="E20" i="163"/>
  <c r="E11" i="163"/>
  <c r="E10" i="163"/>
  <c r="E9" i="163"/>
  <c r="K12" i="140"/>
  <c r="J12" i="140"/>
  <c r="I12" i="140"/>
  <c r="H12" i="140"/>
  <c r="G12" i="140"/>
  <c r="F12" i="140"/>
  <c r="E12" i="140"/>
  <c r="D12" i="140"/>
  <c r="C12" i="140"/>
  <c r="B12" i="140"/>
  <c r="L11" i="140"/>
  <c r="L10" i="140"/>
  <c r="L12" i="140" s="1"/>
  <c r="J8" i="119" l="1"/>
  <c r="J12" i="119" s="1"/>
  <c r="D10" i="163"/>
  <c r="D9" i="163"/>
  <c r="F10" i="163"/>
  <c r="F9" i="163"/>
  <c r="H26" i="165" l="1"/>
  <c r="F23" i="164" l="1"/>
  <c r="F25" i="164"/>
  <c r="F27" i="164"/>
  <c r="E27" i="164"/>
  <c r="C31" i="72"/>
  <c r="F31" i="72" s="1"/>
  <c r="D13" i="165"/>
  <c r="D18" i="163"/>
  <c r="E18" i="163"/>
  <c r="F18" i="163"/>
  <c r="G18" i="163"/>
  <c r="C30" i="165" l="1"/>
  <c r="B30" i="165"/>
  <c r="F27" i="165"/>
  <c r="F30" i="165" s="1"/>
  <c r="C18" i="165"/>
  <c r="B18" i="165"/>
  <c r="D60" i="164"/>
  <c r="E54" i="164"/>
  <c r="D54" i="164"/>
  <c r="E47" i="164"/>
  <c r="D47" i="164"/>
  <c r="D37" i="164"/>
  <c r="F24" i="164"/>
  <c r="E24" i="164"/>
  <c r="D24" i="164"/>
  <c r="D21" i="164" s="1"/>
  <c r="E17" i="164"/>
  <c r="D17" i="164"/>
  <c r="D7" i="164"/>
  <c r="D6" i="164" s="1"/>
  <c r="F24" i="163"/>
  <c r="E24" i="163"/>
  <c r="D24" i="163"/>
  <c r="H23" i="163"/>
  <c r="I23" i="163"/>
  <c r="D29" i="165" s="1"/>
  <c r="I22" i="163"/>
  <c r="F59" i="164" s="1"/>
  <c r="H22" i="163"/>
  <c r="H21" i="163"/>
  <c r="I21" i="163"/>
  <c r="H20" i="163"/>
  <c r="F27" i="163"/>
  <c r="E27" i="163"/>
  <c r="H17" i="163"/>
  <c r="H16" i="163"/>
  <c r="B18" i="163"/>
  <c r="H14" i="163"/>
  <c r="I14" i="163"/>
  <c r="H13" i="163"/>
  <c r="H12" i="163"/>
  <c r="H11" i="163"/>
  <c r="H10" i="163"/>
  <c r="H9" i="163"/>
  <c r="I45" i="162"/>
  <c r="F40" i="164" s="1"/>
  <c r="H17" i="165" s="1"/>
  <c r="H45" i="162"/>
  <c r="I44" i="162"/>
  <c r="H44" i="162"/>
  <c r="I43" i="162"/>
  <c r="H43" i="162"/>
  <c r="G29" i="165" s="1"/>
  <c r="G27" i="165" s="1"/>
  <c r="G30" i="165" s="1"/>
  <c r="I42" i="162"/>
  <c r="H14" i="165" s="1"/>
  <c r="H13" i="165" s="1"/>
  <c r="H42" i="162"/>
  <c r="G41" i="162"/>
  <c r="F41" i="162"/>
  <c r="E41" i="162"/>
  <c r="D41" i="162"/>
  <c r="C41" i="162"/>
  <c r="B41" i="162"/>
  <c r="B37" i="162" s="1"/>
  <c r="B36" i="162" s="1"/>
  <c r="I40" i="162"/>
  <c r="H40" i="162"/>
  <c r="I39" i="162"/>
  <c r="H39" i="162"/>
  <c r="G38" i="162"/>
  <c r="F38" i="162"/>
  <c r="E38" i="162"/>
  <c r="D38" i="162"/>
  <c r="C38" i="162"/>
  <c r="I33" i="162"/>
  <c r="H33" i="162"/>
  <c r="I32" i="162"/>
  <c r="H32" i="162"/>
  <c r="G31" i="162"/>
  <c r="F31" i="162"/>
  <c r="E31" i="162"/>
  <c r="D31" i="162"/>
  <c r="F32" i="164"/>
  <c r="F31" i="164"/>
  <c r="I28" i="162"/>
  <c r="F30" i="164" s="1"/>
  <c r="H11" i="165" s="1"/>
  <c r="H28" i="162"/>
  <c r="I26" i="162"/>
  <c r="H26" i="162"/>
  <c r="I25" i="162"/>
  <c r="G24" i="162"/>
  <c r="G21" i="162" s="1"/>
  <c r="E24" i="162"/>
  <c r="D24" i="162"/>
  <c r="D21" i="162" s="1"/>
  <c r="C24" i="162"/>
  <c r="B21" i="162"/>
  <c r="I23" i="162"/>
  <c r="H23" i="162"/>
  <c r="H22" i="162"/>
  <c r="F21" i="162"/>
  <c r="E21" i="162"/>
  <c r="F20" i="164"/>
  <c r="F18" i="164"/>
  <c r="G17" i="162"/>
  <c r="F17" i="162"/>
  <c r="E17" i="162"/>
  <c r="D17" i="162"/>
  <c r="C17" i="162"/>
  <c r="B17" i="162"/>
  <c r="I16" i="162"/>
  <c r="F14" i="164" s="1"/>
  <c r="E14" i="164"/>
  <c r="I15" i="162"/>
  <c r="I14" i="162"/>
  <c r="H14" i="162"/>
  <c r="I13" i="162"/>
  <c r="F12" i="164" s="1"/>
  <c r="H13" i="162"/>
  <c r="I12" i="162"/>
  <c r="F11" i="164" s="1"/>
  <c r="I11" i="162"/>
  <c r="F10" i="164" s="1"/>
  <c r="I10" i="162"/>
  <c r="F9" i="164" s="1"/>
  <c r="I9" i="162"/>
  <c r="F8" i="164" s="1"/>
  <c r="E8" i="164"/>
  <c r="E7" i="164" s="1"/>
  <c r="G8" i="162"/>
  <c r="G7" i="162" s="1"/>
  <c r="F8" i="162"/>
  <c r="F7" i="162" s="1"/>
  <c r="F34" i="162" s="1"/>
  <c r="E8" i="162"/>
  <c r="D8" i="162"/>
  <c r="D7" i="162" s="1"/>
  <c r="C8" i="162"/>
  <c r="B8" i="162"/>
  <c r="B7" i="162" s="1"/>
  <c r="E7" i="162"/>
  <c r="E34" i="162" s="1"/>
  <c r="G14" i="165" l="1"/>
  <c r="G13" i="165" s="1"/>
  <c r="F7" i="164"/>
  <c r="F6" i="164" s="1"/>
  <c r="H9" i="165" s="1"/>
  <c r="B15" i="155"/>
  <c r="H12" i="165"/>
  <c r="B14" i="155"/>
  <c r="H25" i="165"/>
  <c r="E6" i="164"/>
  <c r="C21" i="162"/>
  <c r="C5" i="158"/>
  <c r="D5" i="158" s="1"/>
  <c r="E5" i="158" s="1"/>
  <c r="F5" i="158" s="1"/>
  <c r="E37" i="162"/>
  <c r="E36" i="162" s="1"/>
  <c r="F17" i="164"/>
  <c r="H22" i="165" s="1"/>
  <c r="F32" i="165"/>
  <c r="C32" i="165"/>
  <c r="B32" i="165"/>
  <c r="D65" i="164"/>
  <c r="B13" i="155"/>
  <c r="C7" i="162"/>
  <c r="C34" i="162" s="1"/>
  <c r="B27" i="163"/>
  <c r="I16" i="163"/>
  <c r="I15" i="163"/>
  <c r="B32" i="155" s="1"/>
  <c r="G37" i="162"/>
  <c r="F64" i="164"/>
  <c r="B10" i="155"/>
  <c r="I41" i="162"/>
  <c r="F39" i="164" s="1"/>
  <c r="C37" i="162"/>
  <c r="C36" i="162" s="1"/>
  <c r="D37" i="162"/>
  <c r="D36" i="162" s="1"/>
  <c r="H31" i="162"/>
  <c r="H24" i="162"/>
  <c r="I31" i="162"/>
  <c r="I17" i="162"/>
  <c r="I21" i="162"/>
  <c r="B34" i="162"/>
  <c r="D27" i="163"/>
  <c r="F21" i="164"/>
  <c r="H10" i="165" s="1"/>
  <c r="D34" i="162"/>
  <c r="H21" i="162"/>
  <c r="F37" i="162"/>
  <c r="F36" i="162" s="1"/>
  <c r="E21" i="164"/>
  <c r="G27" i="163"/>
  <c r="D36" i="164"/>
  <c r="H15" i="163"/>
  <c r="G34" i="162"/>
  <c r="I24" i="162"/>
  <c r="H41" i="162"/>
  <c r="E39" i="164" s="1"/>
  <c r="I8" i="162"/>
  <c r="H38" i="162"/>
  <c r="I38" i="162"/>
  <c r="F38" i="164" s="1"/>
  <c r="H28" i="165" s="1"/>
  <c r="H27" i="165" s="1"/>
  <c r="I52" i="161"/>
  <c r="I51" i="161"/>
  <c r="I50" i="161"/>
  <c r="I49" i="161"/>
  <c r="I48" i="161"/>
  <c r="I47" i="161"/>
  <c r="I46" i="161"/>
  <c r="I45" i="161"/>
  <c r="I44" i="161"/>
  <c r="I43" i="161"/>
  <c r="I42" i="161"/>
  <c r="I41" i="161"/>
  <c r="H40" i="161"/>
  <c r="G40" i="161"/>
  <c r="F40" i="161"/>
  <c r="E40" i="161"/>
  <c r="I39" i="161"/>
  <c r="H38" i="161"/>
  <c r="G38" i="161"/>
  <c r="F38" i="161"/>
  <c r="E38" i="161"/>
  <c r="H37" i="161"/>
  <c r="G37" i="161"/>
  <c r="F37" i="161"/>
  <c r="E37" i="161"/>
  <c r="H36" i="161"/>
  <c r="G36" i="161"/>
  <c r="F36" i="161"/>
  <c r="E36" i="161"/>
  <c r="H35" i="161"/>
  <c r="G35" i="161"/>
  <c r="F35" i="161"/>
  <c r="E35" i="161"/>
  <c r="H34" i="161"/>
  <c r="G34" i="161"/>
  <c r="F34" i="161"/>
  <c r="E34" i="161"/>
  <c r="I33" i="161"/>
  <c r="I32" i="161"/>
  <c r="I31" i="161"/>
  <c r="I30" i="161"/>
  <c r="I29" i="161"/>
  <c r="I27" i="161"/>
  <c r="D24" i="161"/>
  <c r="I25" i="161"/>
  <c r="H24" i="161"/>
  <c r="G24" i="161"/>
  <c r="F24" i="161"/>
  <c r="E24" i="161"/>
  <c r="I23" i="161"/>
  <c r="I22" i="161"/>
  <c r="I19" i="161"/>
  <c r="I18" i="161"/>
  <c r="I17" i="161"/>
  <c r="I16" i="161"/>
  <c r="I15" i="161"/>
  <c r="I14" i="161"/>
  <c r="I13" i="161"/>
  <c r="I12" i="161"/>
  <c r="I11" i="161"/>
  <c r="I10" i="161"/>
  <c r="H8" i="161"/>
  <c r="G8" i="161"/>
  <c r="E8" i="161"/>
  <c r="I7" i="161"/>
  <c r="I6" i="161"/>
  <c r="H5" i="161"/>
  <c r="G5" i="161"/>
  <c r="F5" i="161"/>
  <c r="E5" i="161"/>
  <c r="D5" i="161"/>
  <c r="G36" i="162" l="1"/>
  <c r="I37" i="162"/>
  <c r="I36" i="162" s="1"/>
  <c r="G18" i="165"/>
  <c r="G32" i="165" s="1"/>
  <c r="E36" i="164"/>
  <c r="B17" i="155"/>
  <c r="B11" i="155"/>
  <c r="I7" i="162"/>
  <c r="I34" i="162"/>
  <c r="I40" i="161"/>
  <c r="I36" i="161"/>
  <c r="I37" i="161"/>
  <c r="I5" i="161"/>
  <c r="F36" i="164"/>
  <c r="H18" i="165"/>
  <c r="B12" i="155"/>
  <c r="I38" i="161"/>
  <c r="I34" i="161"/>
  <c r="H37" i="162"/>
  <c r="H36" i="162" s="1"/>
  <c r="H28" i="161"/>
  <c r="H53" i="161" s="1"/>
  <c r="F28" i="161"/>
  <c r="F53" i="161" s="1"/>
  <c r="G28" i="161"/>
  <c r="G53" i="161" s="1"/>
  <c r="D8" i="161"/>
  <c r="D28" i="161"/>
  <c r="E28" i="161"/>
  <c r="E53" i="161" s="1"/>
  <c r="I35" i="161"/>
  <c r="I26" i="161"/>
  <c r="I24" i="161" s="1"/>
  <c r="I9" i="161"/>
  <c r="I8" i="161" s="1"/>
  <c r="E26" i="160"/>
  <c r="D26" i="160"/>
  <c r="E21" i="160"/>
  <c r="D21" i="160"/>
  <c r="E15" i="160"/>
  <c r="D15" i="160"/>
  <c r="F67" i="164" l="1"/>
  <c r="I28" i="161"/>
  <c r="I53" i="161" s="1"/>
  <c r="D53" i="161"/>
  <c r="E30" i="160"/>
  <c r="D30" i="160"/>
  <c r="J34" i="159" l="1"/>
  <c r="I34" i="159"/>
  <c r="H34" i="159"/>
  <c r="C24" i="163" s="1"/>
  <c r="G34" i="159"/>
  <c r="F34" i="159"/>
  <c r="C13" i="163" s="1"/>
  <c r="E34" i="159"/>
  <c r="C12" i="163" s="1"/>
  <c r="I12" i="163" s="1"/>
  <c r="D34" i="159"/>
  <c r="C11" i="163" s="1"/>
  <c r="I11" i="163" s="1"/>
  <c r="C34" i="159"/>
  <c r="C10" i="163" s="1"/>
  <c r="I10" i="163" s="1"/>
  <c r="B34" i="159"/>
  <c r="C9" i="163" s="1"/>
  <c r="L33" i="159"/>
  <c r="L32" i="159"/>
  <c r="L31" i="159"/>
  <c r="L30" i="159"/>
  <c r="L29" i="159"/>
  <c r="L28" i="159"/>
  <c r="L26" i="159"/>
  <c r="L24" i="159"/>
  <c r="L23" i="159"/>
  <c r="L22" i="159"/>
  <c r="L21" i="159"/>
  <c r="L20" i="159"/>
  <c r="L19" i="159"/>
  <c r="L18" i="159"/>
  <c r="L17" i="159"/>
  <c r="L16" i="159"/>
  <c r="L15" i="159"/>
  <c r="L14" i="159"/>
  <c r="L13" i="159"/>
  <c r="L12" i="159"/>
  <c r="L11" i="159"/>
  <c r="L9" i="159"/>
  <c r="L8" i="159"/>
  <c r="L7" i="159"/>
  <c r="L6" i="159"/>
  <c r="C18" i="163" l="1"/>
  <c r="I9" i="163"/>
  <c r="I20" i="163"/>
  <c r="I24" i="163"/>
  <c r="C14" i="72"/>
  <c r="C12" i="72"/>
  <c r="C13" i="72"/>
  <c r="I13" i="163" l="1"/>
  <c r="C27" i="163"/>
  <c r="G8" i="153"/>
  <c r="O14" i="155" l="1"/>
  <c r="J17" i="99"/>
  <c r="J12" i="99"/>
  <c r="H21" i="58"/>
  <c r="H19" i="58"/>
  <c r="F22" i="72" l="1"/>
  <c r="E20" i="153" l="1"/>
  <c r="F12" i="158"/>
  <c r="F13" i="158" s="1"/>
  <c r="F14" i="158" s="1"/>
  <c r="E12" i="158"/>
  <c r="E13" i="158" s="1"/>
  <c r="E14" i="158" s="1"/>
  <c r="D12" i="158"/>
  <c r="D13" i="158" s="1"/>
  <c r="D14" i="158" s="1"/>
  <c r="C12" i="158"/>
  <c r="C13" i="158" l="1"/>
  <c r="C14" i="158" s="1"/>
  <c r="M25" i="155"/>
  <c r="J25" i="155"/>
  <c r="K25" i="155"/>
  <c r="L25" i="155"/>
  <c r="H25" i="155"/>
  <c r="I25" i="155"/>
  <c r="G25" i="155"/>
  <c r="F25" i="155"/>
  <c r="E25" i="155"/>
  <c r="D25" i="155"/>
  <c r="C25" i="155"/>
  <c r="O11" i="155" l="1"/>
  <c r="O12" i="155"/>
  <c r="O13" i="155"/>
  <c r="O15" i="155"/>
  <c r="O17" i="155"/>
  <c r="M34" i="155" l="1"/>
  <c r="L34" i="155"/>
  <c r="K34" i="155"/>
  <c r="J34" i="155"/>
  <c r="I34" i="155"/>
  <c r="H34" i="155"/>
  <c r="G34" i="155"/>
  <c r="F34" i="155"/>
  <c r="E34" i="155"/>
  <c r="O30" i="155"/>
  <c r="O29" i="155"/>
  <c r="O28" i="155"/>
  <c r="N18" i="155"/>
  <c r="M18" i="155"/>
  <c r="L18" i="155"/>
  <c r="K18" i="155"/>
  <c r="J18" i="155"/>
  <c r="I18" i="155"/>
  <c r="H18" i="155"/>
  <c r="G18" i="155"/>
  <c r="F18" i="155"/>
  <c r="E18" i="155"/>
  <c r="D18" i="155"/>
  <c r="O10" i="155"/>
  <c r="E8" i="154"/>
  <c r="N20" i="153"/>
  <c r="N22" i="153" s="1"/>
  <c r="M20" i="153"/>
  <c r="M22" i="153" s="1"/>
  <c r="L20" i="153"/>
  <c r="L22" i="153" s="1"/>
  <c r="K20" i="153"/>
  <c r="K22" i="153" s="1"/>
  <c r="J20" i="153"/>
  <c r="J22" i="153" s="1"/>
  <c r="I20" i="153"/>
  <c r="I22" i="153" s="1"/>
  <c r="H20" i="153"/>
  <c r="H22" i="153" s="1"/>
  <c r="G20" i="153"/>
  <c r="G22" i="153" s="1"/>
  <c r="F20" i="153"/>
  <c r="F22" i="153" s="1"/>
  <c r="E22" i="153"/>
  <c r="G13" i="153"/>
  <c r="G12" i="153"/>
  <c r="G11" i="153"/>
  <c r="G10" i="153"/>
  <c r="G9" i="153"/>
  <c r="G7" i="153"/>
  <c r="G6" i="153"/>
  <c r="C18" i="155" l="1"/>
  <c r="O18" i="155"/>
  <c r="I7" i="154"/>
  <c r="I8" i="154" s="1"/>
  <c r="G8" i="154"/>
  <c r="F57" i="164" l="1"/>
  <c r="D26" i="165"/>
  <c r="D30" i="165"/>
  <c r="B29" i="155"/>
  <c r="H23" i="58" l="1"/>
  <c r="O27" i="155" l="1"/>
  <c r="C12" i="73" l="1"/>
  <c r="D12" i="72" s="1"/>
  <c r="D12" i="73"/>
  <c r="D13" i="72" s="1"/>
  <c r="E12" i="73"/>
  <c r="F12" i="73"/>
  <c r="G12" i="73"/>
  <c r="H12" i="73"/>
  <c r="I12" i="73"/>
  <c r="J12" i="73"/>
  <c r="K12" i="73"/>
  <c r="B12" i="73"/>
  <c r="L11" i="73" l="1"/>
  <c r="C11" i="100" l="1"/>
  <c r="D11" i="100"/>
  <c r="E11" i="100"/>
  <c r="F11" i="100"/>
  <c r="G11" i="100"/>
  <c r="H11" i="100"/>
  <c r="I11" i="100"/>
  <c r="B11" i="100"/>
  <c r="C12" i="151" l="1"/>
  <c r="D12" i="151"/>
  <c r="E12" i="151"/>
  <c r="F12" i="151"/>
  <c r="G12" i="151"/>
  <c r="H12" i="151"/>
  <c r="I12" i="151"/>
  <c r="B12" i="151"/>
  <c r="J11" i="151" l="1"/>
  <c r="J10" i="100" l="1"/>
  <c r="J8" i="100"/>
  <c r="J11" i="100" s="1"/>
  <c r="H15" i="58"/>
  <c r="L14" i="150" l="1"/>
  <c r="F30" i="72" l="1"/>
  <c r="F19" i="72"/>
  <c r="F18" i="72"/>
  <c r="D7" i="72"/>
  <c r="E7" i="72"/>
  <c r="C7" i="72"/>
  <c r="J8" i="99" l="1"/>
  <c r="J10" i="99" l="1"/>
  <c r="D8" i="137" l="1"/>
  <c r="F58" i="164" s="1"/>
  <c r="B30" i="155" l="1"/>
  <c r="H18" i="58" l="1"/>
  <c r="H20" i="58"/>
  <c r="H24" i="58" l="1"/>
  <c r="H7" i="58"/>
  <c r="J10" i="151"/>
  <c r="J9" i="151"/>
  <c r="C27" i="99" l="1"/>
  <c r="D27" i="99"/>
  <c r="E27" i="99"/>
  <c r="F27" i="99"/>
  <c r="G27" i="99"/>
  <c r="H27" i="99"/>
  <c r="I27" i="99"/>
  <c r="J24" i="99"/>
  <c r="J13" i="99"/>
  <c r="F11" i="72" l="1"/>
  <c r="J8" i="151" l="1"/>
  <c r="J12" i="151" s="1"/>
  <c r="K15" i="150"/>
  <c r="J15" i="150"/>
  <c r="I15" i="150"/>
  <c r="H15" i="150"/>
  <c r="G15" i="150"/>
  <c r="F15" i="150"/>
  <c r="E15" i="150"/>
  <c r="D15" i="150"/>
  <c r="C15" i="150"/>
  <c r="B15" i="150"/>
  <c r="L12" i="150"/>
  <c r="L9" i="150"/>
  <c r="L8" i="150"/>
  <c r="L15" i="150" l="1"/>
  <c r="F24" i="72" l="1"/>
  <c r="F16" i="72"/>
  <c r="J25" i="99" l="1"/>
  <c r="J20" i="99" l="1"/>
  <c r="J21" i="99"/>
  <c r="J16" i="99"/>
  <c r="L10" i="73" l="1"/>
  <c r="L12" i="73" s="1"/>
  <c r="B27" i="99" l="1"/>
  <c r="L8" i="83" l="1"/>
  <c r="L9" i="83"/>
  <c r="J9" i="99"/>
  <c r="J11" i="99"/>
  <c r="J14" i="99"/>
  <c r="J15" i="99"/>
  <c r="J18" i="99"/>
  <c r="J19" i="99"/>
  <c r="J23" i="99"/>
  <c r="J26" i="99"/>
  <c r="D15" i="72"/>
  <c r="E15" i="72"/>
  <c r="F28" i="72"/>
  <c r="F23" i="72"/>
  <c r="F25" i="72"/>
  <c r="F14" i="72"/>
  <c r="F8" i="72"/>
  <c r="F9" i="72"/>
  <c r="F10" i="72"/>
  <c r="F17" i="72"/>
  <c r="F20" i="72"/>
  <c r="F21" i="72"/>
  <c r="F27" i="72"/>
  <c r="D29" i="72"/>
  <c r="E29" i="72"/>
  <c r="C10" i="83"/>
  <c r="E12" i="72" s="1"/>
  <c r="F12" i="72" s="1"/>
  <c r="D10" i="83"/>
  <c r="E13" i="72" s="1"/>
  <c r="F13" i="72" s="1"/>
  <c r="E10" i="83"/>
  <c r="F10" i="83"/>
  <c r="G10" i="83"/>
  <c r="H10" i="83"/>
  <c r="I10" i="83"/>
  <c r="J10" i="83"/>
  <c r="K10" i="83"/>
  <c r="B10" i="83"/>
  <c r="J9" i="101"/>
  <c r="J10" i="101"/>
  <c r="E11" i="101"/>
  <c r="B26" i="155" l="1"/>
  <c r="F52" i="164"/>
  <c r="J11" i="101"/>
  <c r="E12" i="101"/>
  <c r="J12" i="101"/>
  <c r="D10" i="165"/>
  <c r="D11" i="165"/>
  <c r="F47" i="164"/>
  <c r="B25" i="155"/>
  <c r="N25" i="155" s="1"/>
  <c r="O25" i="155" s="1"/>
  <c r="O32" i="155"/>
  <c r="B24" i="155"/>
  <c r="N24" i="155" s="1"/>
  <c r="J27" i="99"/>
  <c r="E33" i="72"/>
  <c r="F15" i="72"/>
  <c r="F53" i="164" s="1"/>
  <c r="F7" i="72"/>
  <c r="D9" i="165" s="1"/>
  <c r="L10" i="83"/>
  <c r="D33" i="72"/>
  <c r="B23" i="155" l="1"/>
  <c r="O24" i="155"/>
  <c r="B18" i="155" l="1"/>
  <c r="D23" i="155"/>
  <c r="D34" i="155" s="1"/>
  <c r="C23" i="155"/>
  <c r="N23" i="155" l="1"/>
  <c r="N34" i="155" s="1"/>
  <c r="C34" i="155"/>
  <c r="O23" i="155" l="1"/>
  <c r="O34" i="155" s="1"/>
  <c r="H30" i="165"/>
  <c r="H32" i="165" l="1"/>
  <c r="J23" i="165"/>
  <c r="K10" i="159"/>
  <c r="C32" i="72" s="1"/>
  <c r="I18" i="163" l="1"/>
  <c r="I27" i="163" s="1"/>
  <c r="D16" i="165"/>
  <c r="D18" i="165" s="1"/>
  <c r="D32" i="165" s="1"/>
  <c r="E34" i="165" s="1"/>
  <c r="B33" i="155"/>
  <c r="B34" i="155" s="1"/>
  <c r="F63" i="164"/>
  <c r="F60" i="164" s="1"/>
  <c r="F65" i="164" s="1"/>
  <c r="F66" i="164" s="1"/>
  <c r="F68" i="164" s="1"/>
  <c r="K12" i="147"/>
  <c r="L10" i="159"/>
  <c r="K34" i="159"/>
  <c r="L34" i="159" s="1"/>
  <c r="C29" i="72"/>
  <c r="F32" i="72"/>
  <c r="L12" i="147" l="1"/>
  <c r="K32" i="147"/>
  <c r="L32" i="147" s="1"/>
  <c r="C33" i="72"/>
  <c r="F29" i="72"/>
  <c r="F33" i="72" s="1"/>
</calcChain>
</file>

<file path=xl/sharedStrings.xml><?xml version="1.0" encoding="utf-8"?>
<sst xmlns="http://schemas.openxmlformats.org/spreadsheetml/2006/main" count="1194" uniqueCount="574">
  <si>
    <t>Megnevezés</t>
  </si>
  <si>
    <t>Működési bevételek</t>
  </si>
  <si>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</si>
  <si>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</si>
  <si>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</si>
  <si>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</si>
  <si>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</si>
  <si>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</si>
  <si>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</si>
  <si>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</si>
  <si>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</si>
  <si>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</si>
  <si>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8.</t>
  </si>
  <si>
    <t>Összesen:</t>
  </si>
  <si>
    <t>21.</t>
  </si>
  <si>
    <t>13.</t>
  </si>
  <si>
    <t>mutató</t>
  </si>
  <si>
    <t>Müködési kiadás összesen:</t>
  </si>
  <si>
    <t>Müködési bevétel összesen:</t>
  </si>
  <si>
    <t>Felhalmozási kiadások</t>
  </si>
  <si>
    <t>Felhalmozási bevételek</t>
  </si>
  <si>
    <t>Felhalmozási kiadás összesen:</t>
  </si>
  <si>
    <t>Felhalmozási bevétel összesen:</t>
  </si>
  <si>
    <t>M i n d ö s s z e s e n  :</t>
  </si>
  <si>
    <t>Összesen</t>
  </si>
  <si>
    <t>12.</t>
  </si>
  <si>
    <t>hozzájárulás</t>
  </si>
  <si>
    <t>összege Ft</t>
  </si>
  <si>
    <t>Támogatási jogcím</t>
  </si>
  <si>
    <t xml:space="preserve">adatok ezer forintban </t>
  </si>
  <si>
    <t xml:space="preserve">Kiemelt előirányzatok </t>
  </si>
  <si>
    <t xml:space="preserve">Összesen </t>
  </si>
  <si>
    <t>Működési kiadások összesen</t>
  </si>
  <si>
    <t xml:space="preserve">Kiadások összesen: </t>
  </si>
  <si>
    <t>Felújítási cél megnevezése</t>
  </si>
  <si>
    <t xml:space="preserve">ezer forintban </t>
  </si>
  <si>
    <t>Feladat megnevezése</t>
  </si>
  <si>
    <t>Előirányzat</t>
  </si>
  <si>
    <t>BEVÉTELEK</t>
  </si>
  <si>
    <t>BEVÉTEL ÖSSZESEN</t>
  </si>
  <si>
    <t>KIADÁSOK</t>
  </si>
  <si>
    <t>KIADÁS ÖSSZESEN</t>
  </si>
  <si>
    <t>B E V É T E L E K</t>
  </si>
  <si>
    <t>Sor-
szám</t>
  </si>
  <si>
    <t>Bevételi jogcím</t>
  </si>
  <si>
    <t>3.1.</t>
  </si>
  <si>
    <t>3.2.</t>
  </si>
  <si>
    <t>K I A D Á S O K</t>
  </si>
  <si>
    <t>Sor-szám</t>
  </si>
  <si>
    <t>Kiadási jogcímek</t>
  </si>
  <si>
    <t>1.1.</t>
  </si>
  <si>
    <t>2.1.</t>
  </si>
  <si>
    <t>2.2.</t>
  </si>
  <si>
    <t>2.3.</t>
  </si>
  <si>
    <t>2.4.</t>
  </si>
  <si>
    <t>Kötelezettség jogcíme</t>
  </si>
  <si>
    <t>Köt. váll.
 éve</t>
  </si>
  <si>
    <t>Kiadás vonzata évenként</t>
  </si>
  <si>
    <t>Működési célú hiteltörlesztés (tőke+kamat)</t>
  </si>
  <si>
    <t>Felhalmozási célú hiteltörlesztés (tőke+kamat)</t>
  </si>
  <si>
    <t>Beruházás feladatonként</t>
  </si>
  <si>
    <t>14.</t>
  </si>
  <si>
    <t>16.</t>
  </si>
  <si>
    <t>17.</t>
  </si>
  <si>
    <t>15.</t>
  </si>
  <si>
    <t>Egyéb</t>
  </si>
  <si>
    <t>18.</t>
  </si>
  <si>
    <t>19.</t>
  </si>
  <si>
    <t>20.</t>
  </si>
  <si>
    <t>22.</t>
  </si>
  <si>
    <t>23.</t>
  </si>
  <si>
    <t>24.</t>
  </si>
  <si>
    <t xml:space="preserve"> Címek                                                </t>
  </si>
  <si>
    <t>Egyek Nagyközség Önkormányzat Felhalmozási kiadásai feladatonként</t>
  </si>
  <si>
    <t>2011.</t>
  </si>
  <si>
    <t>adatok Ft-ban</t>
  </si>
  <si>
    <t>KIMUTATÁS</t>
  </si>
  <si>
    <t>évre tervezett tartalékokról</t>
  </si>
  <si>
    <t>Tartalék összesen:</t>
  </si>
  <si>
    <t xml:space="preserve">Bevételi </t>
  </si>
  <si>
    <t>Kiadás</t>
  </si>
  <si>
    <t>Tárkányi Béla Könyvtár és Művelődési Ház összesen:</t>
  </si>
  <si>
    <t>2012.</t>
  </si>
  <si>
    <t>2014.</t>
  </si>
  <si>
    <t>Egyeki Szöghatár Nonprofit Kft.</t>
  </si>
  <si>
    <t>25.</t>
  </si>
  <si>
    <t>26.</t>
  </si>
  <si>
    <t>27.</t>
  </si>
  <si>
    <t>Ezer forintban !</t>
  </si>
  <si>
    <t>Évek</t>
  </si>
  <si>
    <t>ÖSSZES KÖTELEZETTSÉG</t>
  </si>
  <si>
    <t>Bevételi jogcímek</t>
  </si>
  <si>
    <t>Helyi adók</t>
  </si>
  <si>
    <t>Osztalékok, koncessziós díjak, hozam</t>
  </si>
  <si>
    <t>Díjak, pótlékok bírságok</t>
  </si>
  <si>
    <t>Tárgyi eszközök, immateriális javak, vagyoni értékű jog értékesítése, 
vagyonhasznosításból származó bevétel</t>
  </si>
  <si>
    <t>Részvények, részesedések értékesítése</t>
  </si>
  <si>
    <t>Vállalatértékesítésből, privatizációból származó bevételek</t>
  </si>
  <si>
    <t>Kezességvállalással kapcsolatos megtérülés</t>
  </si>
  <si>
    <t>SAJÁT BEVÉTELEK ÖSSZESEN*</t>
  </si>
  <si>
    <t>Fejlesztési cél leírása</t>
  </si>
  <si>
    <t>Önkormányzati Tűzoltóság</t>
  </si>
  <si>
    <t>Egyek Nagyközség Önkormányzat adósságot keletkeztető ügyletekből és kezességvállalásokból fennálló kötelezettségei</t>
  </si>
  <si>
    <t>Egyek Nagyközség Önkormányzat saját bevételeinek részletezése az adósságot keletkeztető ügyletből származó tárgyévi fizetési kötelezettség megállapításához</t>
  </si>
  <si>
    <t>Adósságot keletkeztető ügyletek várható együttes összege:</t>
  </si>
  <si>
    <t>Hitel megnevezése</t>
  </si>
  <si>
    <t>Önkormányzati támogatás összesen:</t>
  </si>
  <si>
    <t>Rövid lejáratú önkormányzati folyószámla hitel</t>
  </si>
  <si>
    <t>Könyvvizsgálati díj</t>
  </si>
  <si>
    <t xml:space="preserve"> 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</si>
  <si>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</si>
  <si>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</si>
  <si>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</si>
  <si>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</si>
  <si>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</si>
  <si>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</si>
  <si>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</si>
  <si>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</si>
  <si>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</si>
  <si>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</si>
  <si>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B114. Települési önkormányzatok kulturális feladatainak támogatása</t>
  </si>
  <si>
    <t>B116 Helyi önkormányzatok kiegészítő támogatása</t>
  </si>
  <si>
    <t>B115 Működési célú központosított előirányzatok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</si>
  <si>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</si>
  <si>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</si>
  <si>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</si>
  <si>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</si>
  <si>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</si>
  <si>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</si>
  <si>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</si>
  <si>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</si>
  <si>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</si>
  <si>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</si>
  <si>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</si>
  <si>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</si>
  <si>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</si>
  <si>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</si>
  <si>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</si>
  <si>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</si>
  <si>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</si>
  <si>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013350 Az önkormányzati vagyonnal való gazdálk-sal kapcs. Feladatok</t>
  </si>
  <si>
    <t>066020 Város és községgazdálkodás</t>
  </si>
  <si>
    <t>018010 Önkormányzatok elszámolásai a közp-i ktg.vetéssel</t>
  </si>
  <si>
    <t>900020 Önkormányzati funkciókra nem sorolható bevételek államháztartásoknak</t>
  </si>
  <si>
    <t>107055 Falugondoki, tanyagondnoki feladatok ellátása</t>
  </si>
  <si>
    <t>041237 Közfogallkoztatási mintaprogram</t>
  </si>
  <si>
    <t>013320 Köztemető fenntartás és működtetés</t>
  </si>
  <si>
    <t>011130 Önkormányzatok és önkormányzati hivatalok jogalkotói és általános igazgatási tevékenysége</t>
  </si>
  <si>
    <t>011220 Adó-, vám és jövedéki igazgatás</t>
  </si>
  <si>
    <t>082044 Könyvtári szolgáltatások</t>
  </si>
  <si>
    <t>082063 Múzeumi, kiállítási tevékenység</t>
  </si>
  <si>
    <t>082091 Közművelődési- közösségi és társadalmi részvétel fejlesztése</t>
  </si>
  <si>
    <t>12 hó</t>
  </si>
  <si>
    <t>Költségvetési bevétel rovatrend</t>
  </si>
  <si>
    <t>Költségvetési kiadás rovatrand</t>
  </si>
  <si>
    <t>K1. Személyi juttatások</t>
  </si>
  <si>
    <t>K2. Munkaadókat terhelő járulékok és szociális hozzájárulási adók</t>
  </si>
  <si>
    <t>K3. Dologi kiadások</t>
  </si>
  <si>
    <t>K4. Ellátottak pénzbeli juttatásai</t>
  </si>
  <si>
    <t>K6. Beruházások</t>
  </si>
  <si>
    <t>K7. Felújítások</t>
  </si>
  <si>
    <t>K8. Egyéb felhalmozási célú kiadások</t>
  </si>
  <si>
    <t>Felhalmozási kiadások összesen:</t>
  </si>
  <si>
    <t>K5. Egyéb működési célú kiadások (tartalékok nélkül)</t>
  </si>
  <si>
    <t>K9. Finanszírozási kiadások (működési)</t>
  </si>
  <si>
    <t>K9. Finanszírozási kiadások (felhalmozási)</t>
  </si>
  <si>
    <t xml:space="preserve">K2. Munkaadókat terhelő járulékok és szociális hozzájárulási adó </t>
  </si>
  <si>
    <t xml:space="preserve">K4. Ellátottak pénzbeli juttatásai </t>
  </si>
  <si>
    <t>K512. Tartalék tartalék</t>
  </si>
  <si>
    <t>K9. Finanszírozási kiadások</t>
  </si>
  <si>
    <t>072111 Háziorvosi alapellátás</t>
  </si>
  <si>
    <t>072210 Járóbetegek gyógyító szakellátása</t>
  </si>
  <si>
    <t>107060 Egyéb szociális pénzbeni ellátások, tám-k</t>
  </si>
  <si>
    <t>K2. Munkaadókat terhelő járulékok és szociális hozzájárulási adó</t>
  </si>
  <si>
    <t>K5. Egyéb működési célú kiadások (tartalék nélkül)</t>
  </si>
  <si>
    <t>K5. Egyéb működési célú kiadások</t>
  </si>
  <si>
    <t>ebből: tartalék (működési)</t>
  </si>
  <si>
    <t>2013.</t>
  </si>
  <si>
    <t>Sebészeti szakrendeléshez eszközbérlet</t>
  </si>
  <si>
    <t>Szemészeti szakrendeléshez eszközbérlet</t>
  </si>
  <si>
    <t>Általános jogi tanácsadás</t>
  </si>
  <si>
    <t>2.5.</t>
  </si>
  <si>
    <t>2.6.</t>
  </si>
  <si>
    <t>4.2.</t>
  </si>
  <si>
    <t>4.5.</t>
  </si>
  <si>
    <t>4.6.</t>
  </si>
  <si>
    <t>4.9.</t>
  </si>
  <si>
    <t>4.10.</t>
  </si>
  <si>
    <t>4.11.</t>
  </si>
  <si>
    <t>B3. Közhatalmi bevételek</t>
  </si>
  <si>
    <t>B8. Finanszírozási bevételek (működési)</t>
  </si>
  <si>
    <t>B8. Finanszírozási bevételek (felhalmozási)</t>
  </si>
  <si>
    <t>B21. Felhalmozási célú önkormányzati támogatások (központosított előirányzatok,  vis maior)</t>
  </si>
  <si>
    <t>4.12.</t>
  </si>
  <si>
    <t>K1. Személyi  juttatás</t>
  </si>
  <si>
    <t>K11. Foglalkoztatottak személyi juttatásai</t>
  </si>
  <si>
    <t>K12. Külső személyi juttatások</t>
  </si>
  <si>
    <t xml:space="preserve">K9. Finanszírozási kiadások </t>
  </si>
  <si>
    <t xml:space="preserve">   ebből: közfoglalkoztatás</t>
  </si>
  <si>
    <t>Polgárőrség</t>
  </si>
  <si>
    <t>Kormányzati funkció</t>
  </si>
  <si>
    <t>011130</t>
  </si>
  <si>
    <t>4.13.</t>
  </si>
  <si>
    <t>4.14.</t>
  </si>
  <si>
    <t>4.15.</t>
  </si>
  <si>
    <t>Népességnyilvántartó rendszer</t>
  </si>
  <si>
    <t>4.16.</t>
  </si>
  <si>
    <t>Polgármesteri Hivatal internet szolgáltatás</t>
  </si>
  <si>
    <t>4.17.</t>
  </si>
  <si>
    <t>4.18.</t>
  </si>
  <si>
    <t>Tűzjelző rendszer karbantartási szolgáltatás</t>
  </si>
  <si>
    <t>4.21.</t>
  </si>
  <si>
    <t>4.22.</t>
  </si>
  <si>
    <t>4.23.</t>
  </si>
  <si>
    <t>Egészségházban kártevőírtás szolgáltatás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</si>
  <si>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</si>
  <si>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</si>
  <si>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</si>
  <si>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B115. Működési célú központosított előirányzatok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</si>
  <si>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</si>
  <si>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</si>
  <si>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</si>
  <si>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</si>
  <si>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</si>
  <si>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</si>
  <si>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</si>
  <si>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</si>
  <si>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</si>
  <si>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</si>
  <si>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</si>
  <si>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</si>
  <si>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</si>
  <si>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 xml:space="preserve"> KIADÁSOK ÖSSZESEN: </t>
  </si>
  <si>
    <t xml:space="preserve">K5. Egyéb működési célú kiadások </t>
  </si>
  <si>
    <t>B116. Helyi önkormányzatok kiegészítő támogatása</t>
  </si>
  <si>
    <t>B16. Egyéb működési célú támogatások bevételei államháztartáson belülről</t>
  </si>
  <si>
    <t>B8111. Hosszú lejáratú hitelek, kölcsön felvétele</t>
  </si>
  <si>
    <t>Adósságot keletkeztető ügyletből származó tárgyévi összes fizetési kötelezettség (tőke+kamat)</t>
  </si>
  <si>
    <t>B8192. Rövid lejáratú kölcsönök bevételei</t>
  </si>
  <si>
    <t>104060 A gyermekek, fiatalok és családok életmin.jav.</t>
  </si>
  <si>
    <t xml:space="preserve">   ebből: választott tisztségviselők juttatásai</t>
  </si>
  <si>
    <t>K915. Finanszírozási kiadások</t>
  </si>
  <si>
    <t>K9. Finanszírozási kiadások felhalmozási</t>
  </si>
  <si>
    <t>041237</t>
  </si>
  <si>
    <t>013350</t>
  </si>
  <si>
    <t>28.</t>
  </si>
  <si>
    <t>29.</t>
  </si>
  <si>
    <t>30.</t>
  </si>
  <si>
    <t>31.</t>
  </si>
  <si>
    <t>32.</t>
  </si>
  <si>
    <t>33.</t>
  </si>
  <si>
    <t>34.</t>
  </si>
  <si>
    <t>35.</t>
  </si>
  <si>
    <t>-</t>
  </si>
  <si>
    <t>Alacsony vételárú ingatlanok megvásárlása fejlesztési célú hitel</t>
  </si>
  <si>
    <t>Műfüves labdarugópálya pályázati tervdokumentáció elkészítésének finanszírozása feljesztési célú hitel</t>
  </si>
  <si>
    <t>Zúzott kő vásárlás fejlesztési célú hitel</t>
  </si>
  <si>
    <t>4.7.</t>
  </si>
  <si>
    <t>Egyek Nagyközség Önkormányzata ingatlanainak vagyonbiztosítási díja</t>
  </si>
  <si>
    <t>Közületi hulladékszállítási díj Polgármesteri Hivatalban esetén</t>
  </si>
  <si>
    <t>2018.</t>
  </si>
  <si>
    <t>Betonelem előregyártó csarnok pályázathoz kapcsolódó építési, kivitelezési terv elkészítése, valamint a pályázathoz kapcsolódó árazott költségvetés, építési engedélyezési tervdokumentáció elkészítésének finanszírozása fejlesztési célú hitel</t>
  </si>
  <si>
    <t>Fejlesztés várható kiadása 2025. év</t>
  </si>
  <si>
    <t>Egyéb központi támogatás</t>
  </si>
  <si>
    <t>Pótlékok, bírságok egyéb közhatalmi bevételek</t>
  </si>
  <si>
    <t>B113. Települési önkormányzatok szociális feladatainak támogatása</t>
  </si>
  <si>
    <t>B814. Államháztartáson belüli megelőlegezések</t>
  </si>
  <si>
    <t>2019.</t>
  </si>
  <si>
    <t>Fejlesztés várható kiadása 2026. év</t>
  </si>
  <si>
    <t>Egyek horgászturizmushoz kapcsolódó pihenőpark és sétaút kialakítása önerő fedezete fejlesztési célú hitel</t>
  </si>
  <si>
    <t>Gyepmesteri telep építése Egyeken önerő finanszírozása fejlesztési célú hitel</t>
  </si>
  <si>
    <t>Önkormányzati tulajdonú ingatlan fűtéskorszerűsítése és Egészség Centrummá történő átalakítása fejlesztési célú hitel</t>
  </si>
  <si>
    <t>2015.</t>
  </si>
  <si>
    <t>2.11.</t>
  </si>
  <si>
    <t>"Egyek bel-és külterületi csapadékelvezető rendszer rekonstrukciója" fejlesztési célú hitel</t>
  </si>
  <si>
    <t>2.12.</t>
  </si>
  <si>
    <t>2.13.</t>
  </si>
  <si>
    <t>Önkormányzati tulajdonú ingatlanok fűtés korszerűsítése fejlesztési célú hitel</t>
  </si>
  <si>
    <t>Gyepmesteri telep állategészségügyi ellátás</t>
  </si>
  <si>
    <t>Egyek Nagyközség területén térfigyelő rendszer rendszer felügyeleti díj</t>
  </si>
  <si>
    <t>B.14. Működési célú visszatérítendő támogatások, kölcsönök visszatérülése államháztartáson belülről</t>
  </si>
  <si>
    <t>Fajlagos összeg</t>
  </si>
  <si>
    <t>042180 Állat- egészségügyi ellátás</t>
  </si>
  <si>
    <t>011130 Önk-k és önkormányzati hivatalok jogalkotási és ált. ig. tevékenysége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</si>
  <si>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</si>
  <si>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</si>
  <si>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>Többéves kihatással járó döntésekből származó kötelezettségek célok szerint évenkénti bontásban</t>
  </si>
  <si>
    <t>B74. Fehalmozási célú visszatérítendő támogatások, kölcsönök visszatérülése államháztartáson kívülről</t>
  </si>
  <si>
    <t>B75. Egyéb felhalmozási célú átvett pénzeszközök</t>
  </si>
  <si>
    <t>052020 Szennyvíz gyűjtése, tisztítása és elhelyezése</t>
  </si>
  <si>
    <t>Balmazújvárosi Többcélú Társulás</t>
  </si>
  <si>
    <t>Elvonások és befizetések</t>
  </si>
  <si>
    <t>084031 Civil szervezetek támogatása</t>
  </si>
  <si>
    <t>B14. Működési célú visszatérítendő támogatások, kölcsönök visszatérülése államháztartáson belülről</t>
  </si>
  <si>
    <t>Működésképtelen önkormányzatok egyéb támogatása</t>
  </si>
  <si>
    <t>K513. Tartalékok (felhalmozási)</t>
  </si>
  <si>
    <t>Ebből: K914 Államháztartáson belüli megelőlegezések visszafizetése</t>
  </si>
  <si>
    <t xml:space="preserve">            maradvány igénybevétel</t>
  </si>
  <si>
    <t>ebből: maradvány igénybevétel</t>
  </si>
  <si>
    <t>Államháztartáson belüli megelőlegezés</t>
  </si>
  <si>
    <t>2020.</t>
  </si>
  <si>
    <t>Fejlesztés várható kiadása 2027. év</t>
  </si>
  <si>
    <t>Egyek Nagyközség Önkormányzat és költségvetési szervei bevételei forrásonként, főbb jogcím-csoportonkénti részletezettségben</t>
  </si>
  <si>
    <t xml:space="preserve">adatok forintban </t>
  </si>
  <si>
    <t>B31. Jövedelemadók</t>
  </si>
  <si>
    <t>adatok forintban</t>
  </si>
  <si>
    <t>018030 Támogatási célú finanszírozási műveletek</t>
  </si>
  <si>
    <t xml:space="preserve">K513. Tartalék </t>
  </si>
  <si>
    <t>Műfüves labdarugópálya kiépítése Egyeken</t>
  </si>
  <si>
    <t>2016.</t>
  </si>
  <si>
    <t>Adójellegű bevételek</t>
  </si>
  <si>
    <t>Műfüves labdarugópálya kialakítása Egyeken</t>
  </si>
  <si>
    <t>Viziközmű vagyon fejlesztés</t>
  </si>
  <si>
    <t>B31. Magánszemélyek jövedelemadói</t>
  </si>
  <si>
    <t>K513. Tartalékok</t>
  </si>
  <si>
    <t>K513. Tartalékok (működési)</t>
  </si>
  <si>
    <t>ebből: felhalmozási célú hitelfelvétel</t>
  </si>
  <si>
    <t xml:space="preserve"> ebből K914. Államháztartáson belüli megelőlegezések</t>
  </si>
  <si>
    <t>Fejlesztés várható kiadása 2028. év</t>
  </si>
  <si>
    <t>B.15.Működési célú visszatérítendő támogatások, kölcsönök igénybevétele államháztartáson belülről</t>
  </si>
  <si>
    <t>2. Egyeki Polgármesteri Hivatal</t>
  </si>
  <si>
    <t>3. Tárkányi Béla Könytár és Művelődési ház</t>
  </si>
  <si>
    <t>1. Egyek Nagyközség Önkormányzata</t>
  </si>
  <si>
    <t>Működési kiadások</t>
  </si>
  <si>
    <t>Egyek Nagyközség Önkormányzat Felújítási kiadásai célonként</t>
  </si>
  <si>
    <t>045120 Út- autópálya építés</t>
  </si>
  <si>
    <t>072210 Járóbeteg gygyító szakellátása</t>
  </si>
  <si>
    <t>Településrendezési terv készítés</t>
  </si>
  <si>
    <t>2022.</t>
  </si>
  <si>
    <t xml:space="preserve">Tűz és munkavédelmi szolgáltatás </t>
  </si>
  <si>
    <t>Bölcsőde építés</t>
  </si>
  <si>
    <t>Kétöklű Szociális Szövetkezet működési támogatása</t>
  </si>
  <si>
    <t>Polgármesteri Hivatal: egyéb tárgyi eszközök beszerzése</t>
  </si>
  <si>
    <t>Polgármesteri Hivatal: informatikai eszközök beszerzése</t>
  </si>
  <si>
    <t>107080 Esélyegyenlőség elősegítését célzó tevékenységek és programok</t>
  </si>
  <si>
    <t xml:space="preserve">Sorszám  </t>
  </si>
  <si>
    <t>Önerő</t>
  </si>
  <si>
    <t>Úszóműves csónak- és kisgéphajó - kikötő építés</t>
  </si>
  <si>
    <t>Összesen
(8=4+5+6+7)</t>
  </si>
  <si>
    <t>Bölcsődei ellátás infrastrukturális fejlesztése Egyeken c. pályázat önerő biztosítása</t>
  </si>
  <si>
    <t xml:space="preserve">" Egyek bel és külterületi csapadékelvezető rendszer rekonstrukciója"  pályázati támogatási előleg visszafizetése </t>
  </si>
  <si>
    <t>Külterületi utak fejlesztése projekt önerő fedezete</t>
  </si>
  <si>
    <t>Fejlesztés várható kiadása 2029. év</t>
  </si>
  <si>
    <t>2023.</t>
  </si>
  <si>
    <t>Mezőgazdasági út építés</t>
  </si>
  <si>
    <t>Egészségház adatvédelmi tisztviselő szolgáltatás</t>
  </si>
  <si>
    <t>TÖOSZ tagsági díj</t>
  </si>
  <si>
    <t>Tárkányi Béla Könyvtár adatvédelmi tisztviselő szolgáltatás</t>
  </si>
  <si>
    <t>Egyeki Polgármesteri Hivatal adatvédelmi tisztviselő szolgáltatás</t>
  </si>
  <si>
    <t>B36. Egyéb közhatalmi bevételek (bírság, pótlék, mezőőri díj, talajterhelési díj)</t>
  </si>
  <si>
    <t>Piac építés önerő fedezete</t>
  </si>
  <si>
    <t>Úszóműves csónak- és kisgéphajtó - kikötő építés önerő fedezete</t>
  </si>
  <si>
    <t>K915. Központi irányítószervi támogatás</t>
  </si>
  <si>
    <t>ebből: K914. Államháztartáson belüli megelőlegezések visszafizetése</t>
  </si>
  <si>
    <t>Adatok forintban</t>
  </si>
  <si>
    <t xml:space="preserve"> Adatok forintban</t>
  </si>
  <si>
    <t>Fejlesztés várható kiadása 2030. év</t>
  </si>
  <si>
    <t>B8112. Rövid lejáratú hitelek, kölcsönök felvétele</t>
  </si>
  <si>
    <t>041233 Hosszabb időtartamú közfoglalkoztatás</t>
  </si>
  <si>
    <t>047120 Piac üzemeltetése</t>
  </si>
  <si>
    <t>107060 Egyéb szociális pénzbeni és természetbeni ellátások</t>
  </si>
  <si>
    <t>Önkormányzati Hivatal működésének támogatása (kiegészítéssel növelt összeg)</t>
  </si>
  <si>
    <t>Egyéb kötelező önkormányzati feladatok támogatása</t>
  </si>
  <si>
    <t>Lakott külterülettel kapcsolatos feladatok támogatása</t>
  </si>
  <si>
    <t xml:space="preserve">Szünidei étkeztetés támogatása </t>
  </si>
  <si>
    <t>Falugondnoki vagy tanyagondnoki szolgáltatás</t>
  </si>
  <si>
    <t>A telpülési önkormányzatok szociális és gyermekjóléti feladatainak támogatása</t>
  </si>
  <si>
    <t>A települési önkormányzatok kulturális feladatainak támogatása</t>
  </si>
  <si>
    <t>A települési önkormányzatok gyermekétkeztetési feladatainak támogatása</t>
  </si>
  <si>
    <t>A telpülési önkormányzatok működésének általános támogatása</t>
  </si>
  <si>
    <t>Zöldterület-gazdálkodással kapcsolatos feladatok ell.tám.</t>
  </si>
  <si>
    <t>Közvilágítás fenntartásának támogatása</t>
  </si>
  <si>
    <t>Köztemető fenntartásával kapcsolatos feladatok támogatása</t>
  </si>
  <si>
    <t>Közutak fenntartásának támogatása</t>
  </si>
  <si>
    <t>ebből: K9112. Likviditási célú hitelek, kölcsönök törlesztése pénzügyi vállalkozásnak</t>
  </si>
  <si>
    <t>BURSA támogatás</t>
  </si>
  <si>
    <t>Egyeki Sportbarátok Sport Egyesülete támogatása</t>
  </si>
  <si>
    <t>Visszatérítendő krízis támogatás</t>
  </si>
  <si>
    <t>Polgármesteri Hivatal: immateriális javak beszerzése</t>
  </si>
  <si>
    <t>082042</t>
  </si>
  <si>
    <t>Szennyvízközmű vagyon fejlesztése</t>
  </si>
  <si>
    <t>Ivóvízközmű vagyon fejlesztés</t>
  </si>
  <si>
    <t>2.7.</t>
  </si>
  <si>
    <t>2.8.</t>
  </si>
  <si>
    <t>2.9</t>
  </si>
  <si>
    <t>2.10.</t>
  </si>
  <si>
    <t>3.3.</t>
  </si>
  <si>
    <t>4.3.</t>
  </si>
  <si>
    <t>4.4.</t>
  </si>
  <si>
    <t>4.19.</t>
  </si>
  <si>
    <t>2025.</t>
  </si>
  <si>
    <t>2025. évi előirányzat</t>
  </si>
  <si>
    <t>045120</t>
  </si>
  <si>
    <t xml:space="preserve"> forintban </t>
  </si>
  <si>
    <t>Települési önkormányzatok szociális eladatainak egyéb támogatása</t>
  </si>
  <si>
    <t xml:space="preserve">Települési önkormányzatok kulturális feladatainak támogatása </t>
  </si>
  <si>
    <t>Külterületi helyi közutak fejlesztése</t>
  </si>
  <si>
    <t>Fejlesztés várható kiadása 2031. év</t>
  </si>
  <si>
    <t>K5. Egyéb működési célú kiadások (tartalékkal együtt)</t>
  </si>
  <si>
    <t>072210 Járóbeteg gyógyító szakellátása</t>
  </si>
  <si>
    <t>062020</t>
  </si>
  <si>
    <t>2026. évi előirányzat</t>
  </si>
  <si>
    <t>2026.</t>
  </si>
  <si>
    <t>Fejlesztés várható kiadása 2032. év</t>
  </si>
  <si>
    <t>K512. Tartalék (működési, felhalmozási)</t>
  </si>
  <si>
    <t>Támogatás megelőlegező likvid hitel</t>
  </si>
  <si>
    <t>1.2.</t>
  </si>
  <si>
    <t>2.14.</t>
  </si>
  <si>
    <t>Önerő biztosítása  külterületi helyi közutak</t>
  </si>
  <si>
    <t xml:space="preserve">Piac, betonelemgyártó üzemcsarnok, kártevő írtás </t>
  </si>
  <si>
    <t>Távfelügyeleti szolgáltatás, egészégház</t>
  </si>
  <si>
    <t>Távfelügyeleti szolgáltatás tűzjelző rendszerre Hivatal</t>
  </si>
  <si>
    <t>ebből: működési célú hitelfelvétel</t>
  </si>
  <si>
    <t>( kedvezmények)</t>
  </si>
  <si>
    <t>Kedvezmény nélkül elérhető bevétel</t>
  </si>
  <si>
    <t>Kedvezmények összege</t>
  </si>
  <si>
    <t>Ellátottak térítési díjának elengedése</t>
  </si>
  <si>
    <t>Ellátottak kártérítésének elengedése</t>
  </si>
  <si>
    <t>Lakosság részére lakásépítéshez nyújtott kölcsön elengedése</t>
  </si>
  <si>
    <t>Lakosság részére lakásfelújításhoz nyújtott kölcsön elengedése</t>
  </si>
  <si>
    <t>…………..-ból biztosított kedvezmény, mentesség*</t>
  </si>
  <si>
    <t xml:space="preserve">Gépjárműadóból biztosított kedvezmény, mentesség 1991.évi LXXXII.tv. 5. § </t>
  </si>
  <si>
    <t xml:space="preserve">Helyiségek hasznosítása utáni kedvezmény, menteség terembéreleti díj határozata alapján/ </t>
  </si>
  <si>
    <t>11.1.</t>
  </si>
  <si>
    <t xml:space="preserve">Egyek Nagyközség Önkormányzata és az Egyeki Szöghatár Nonprofit között 2014. február 18.-án kelt 1617/2014. iktatószámmal ellátott megállapodás alapján/ </t>
  </si>
  <si>
    <t>11.2.</t>
  </si>
  <si>
    <t>Eszközök hasznosítása utáni kedvezmény, menteség</t>
  </si>
  <si>
    <t>Egyéb kedvezmény</t>
  </si>
  <si>
    <t>Egyéb kölcsön elengedése</t>
  </si>
  <si>
    <t>Kommunális adó kedvezmény:</t>
  </si>
  <si>
    <t xml:space="preserve"> 15.1.</t>
  </si>
  <si>
    <t xml:space="preserve">Időskorúak járadékában részesülők/Egyek Nagyközség Önkormányzat Képviselő Testületének 28/2013.(IX.26.) sz. rendelet 3. § b. pontja </t>
  </si>
  <si>
    <t xml:space="preserve"> 70 éven felüliek/ Egyek Nagyközség Önkormányzat Képviselő Testületének 28/2013.(IX.26.) sz. rendelet 3. § a) pontja</t>
  </si>
  <si>
    <t xml:space="preserve"> 15.2.</t>
  </si>
  <si>
    <t xml:space="preserve"> Készenléti szolgálatot ellátó önkéntes tűzoltók / Egyek Nagyközség Önkormányzat Képviselő Testületének 28/2013.(IX.26.) sz. rendelet 3. § c) pontja</t>
  </si>
  <si>
    <t xml:space="preserve"> 15.3.</t>
  </si>
  <si>
    <t>18. életévet be nem töltött magánszemélyek / Egyek Nagyközség Önkormányzat Képviselő Testületének 28/2013.(IX.26.) sz. rendelet 3. § d) pontja</t>
  </si>
  <si>
    <t>Talajterhelési díj kedvezmény</t>
  </si>
  <si>
    <t>16.1.</t>
  </si>
  <si>
    <t>16.2.</t>
  </si>
  <si>
    <t>*</t>
  </si>
  <si>
    <t>A helyi adókból biztosított kedvezményeket, mentességeket, adónemenként kell feltüntetni.</t>
  </si>
  <si>
    <t>Mozgáskorlátozottak Egyesületének támogatása</t>
  </si>
  <si>
    <t>Látássérültek Egyesületének támogatása</t>
  </si>
  <si>
    <t>Tartalékok</t>
  </si>
  <si>
    <t>MINDÖSSZESEN:</t>
  </si>
  <si>
    <t>Földterület vásárlás (013350): 0934/92 hrsz</t>
  </si>
  <si>
    <t>013320</t>
  </si>
  <si>
    <t>Önkormányzati tulajdonú ingatlanok (bérlakások) felújítása</t>
  </si>
  <si>
    <t>Önkormányzati jogalkotás: informatikai eszköz beszerzés</t>
  </si>
  <si>
    <t>Önkormányzati jogalkotás: egyéb tárgyi eszköz beszerzés</t>
  </si>
  <si>
    <t>Közfoglalkoztatási mintaprogramok: felhalmozási kiadások</t>
  </si>
  <si>
    <t>042180</t>
  </si>
  <si>
    <t>072111</t>
  </si>
  <si>
    <t>072210</t>
  </si>
  <si>
    <t>Háziorvosi alapellátás: egyéb tárgyi eszköz beszerzés</t>
  </si>
  <si>
    <t>Járóbetegek gyógyító szakellátása: várótermi szék beszerzés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</si>
  <si>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</si>
  <si>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</si>
  <si>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</si>
  <si>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</si>
  <si>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</si>
  <si>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</si>
  <si>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</si>
  <si>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</si>
  <si>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</si>
  <si>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</si>
  <si>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</si>
  <si>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</si>
  <si>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Egyek, Eötvös utca szilárd burkolattal történő ellátása</t>
  </si>
  <si>
    <t>HIÁNY:</t>
  </si>
  <si>
    <t>2027.</t>
  </si>
  <si>
    <t>Fejlesztés várható kiadása 2033. év</t>
  </si>
  <si>
    <t>2027. évi előirányzat</t>
  </si>
  <si>
    <t>2.15.</t>
  </si>
  <si>
    <t>Külterületi helyi közutak építése, Támogatásmegelőlegező hitel</t>
  </si>
  <si>
    <t>4.24.</t>
  </si>
  <si>
    <t>Köztemető: Parkoló építés</t>
  </si>
  <si>
    <t>011130 Önk.-k és önk-i hiv-k jogalkotói és ált.ig.tev.</t>
  </si>
  <si>
    <t>018010 Önkormányzatok elszámolásai a központi költségvetéssel</t>
  </si>
  <si>
    <t>032020 Tűz és katasztrófavédelmi tevékenységek</t>
  </si>
  <si>
    <t>042180 Állat-egészségügy ellátás</t>
  </si>
  <si>
    <t>045120 Út, autópálya építése</t>
  </si>
  <si>
    <t>045160 Közutak, hidak, alagutak fenntartása</t>
  </si>
  <si>
    <t>045220 Vízi létesímények építése</t>
  </si>
  <si>
    <t>052020 Szennyvíz gyűjtése, tisztítása, elhelyezése</t>
  </si>
  <si>
    <t>062020 Településfejlesztési projektek és támogatásuk</t>
  </si>
  <si>
    <t>064010 Közvilágítás</t>
  </si>
  <si>
    <t>104037 Intézményen kívüli gyermekétkeztetés</t>
  </si>
  <si>
    <t>106010 Lakóingatlan szociális célú bérbeadás, üzemeltetés</t>
  </si>
  <si>
    <t>107060 Egyéb szoc. pénzbeni és természetbeni ellátások, tám-k</t>
  </si>
  <si>
    <t>900060 Forgatási és befektetési célú finanszírozási műveletek</t>
  </si>
  <si>
    <t xml:space="preserve">ebből: K513 Tartalék </t>
  </si>
  <si>
    <t>4.1.</t>
  </si>
  <si>
    <t>4.8.</t>
  </si>
  <si>
    <t>Hortobágyi Tiszamente Natúrpark Egyesület tagdíj</t>
  </si>
  <si>
    <t>4.20.</t>
  </si>
  <si>
    <t>TDR háziorvosi program terméktámogatás</t>
  </si>
  <si>
    <t>TDR háziorvosi program adatszinkronizálás</t>
  </si>
  <si>
    <t>B.816 Központi irányítószervi támogatás</t>
  </si>
  <si>
    <t>K915 Központi irányítószervi támogatás</t>
  </si>
  <si>
    <t>Egyek Nagyközség Önkormányzatának 2025. évi bevételei</t>
  </si>
  <si>
    <t>2025. évi terv</t>
  </si>
  <si>
    <t>Egyek Nagyközség Önkormányzatának 2025. évre tervezett bevételei kötelező feladatonként</t>
  </si>
  <si>
    <t>Egyek Nagyközség Önkormányzatának 2025. évre tervezett bevételei önként vállalt feladatonként</t>
  </si>
  <si>
    <t xml:space="preserve">Egyeki Polgármesteri Hivatal 2025. évi tervezett bevételei </t>
  </si>
  <si>
    <t>Egyeki Polgármesteri Hivatal 2025. évi tervezett bevételei kötelező feladatonként</t>
  </si>
  <si>
    <t>Tárkányi Béla Könyvtár és Művelődési Ház 2025. évi tervezett bevételei</t>
  </si>
  <si>
    <t xml:space="preserve">Tárkányi Béla Könyvtár és Művelődési Ház 2025. évi tervezett bevételei kötelező feladatonként </t>
  </si>
  <si>
    <t xml:space="preserve">Egyek Nagyközség Önkormányzatának 2025. évi állami támogatása </t>
  </si>
  <si>
    <t>2025. ÉV</t>
  </si>
  <si>
    <t>Egyek Nagyközség Önkormányzat és költségvetési szervei 2025. évi  kiadásai kiemelt előirányzatonként</t>
  </si>
  <si>
    <t>2025. évi előirányzat 
Önkormányzat</t>
  </si>
  <si>
    <t>2025. évi előirányzat Tárkányi Béla Könyvtár és Művelődési Ház</t>
  </si>
  <si>
    <t xml:space="preserve">2025. évi előirányzat Egyeki Polgármesteri Hivatal </t>
  </si>
  <si>
    <t>2024. évi várható tény 
Önkormányzat</t>
  </si>
  <si>
    <t>2024. évi várható tény Egyeki Polgármesteri Hivatal</t>
  </si>
  <si>
    <t>2024 . Évi várható tény Tárkányi Béla Könyvtár és Művelődési Ház</t>
  </si>
  <si>
    <t xml:space="preserve">2025. évi előirányzat 
Egyek Nagyközség Önkormányzata </t>
  </si>
  <si>
    <t>2024. évi várható tény 
Egyek Nagyközség Önkormányzata</t>
  </si>
  <si>
    <t>Egyek Nagyközség Önkormányzatának 2025. évi tervezett kiadásai  feladatonként</t>
  </si>
  <si>
    <t>Egyek Nagyközség Önkormányzatának 2025. évi tervezett kiadásai  kötelező feladatonként</t>
  </si>
  <si>
    <t>Egyek Nagyközség Önkormányzatának 2025. évi tervezett kiadásai  önként vállalt feladatonként</t>
  </si>
  <si>
    <t>Egyeki Polgármesteri Hivatal 2025. évi tervezett kiadásai feladatonként</t>
  </si>
  <si>
    <t>Egyeki Polgármesteri Hivatal 2025. évi tervezett kiadásai kötelező feladatonként</t>
  </si>
  <si>
    <t>Tárkányi Béla Könyvtár és Művelődési Ház 2025. évi tervezett kiadásai feladatonként</t>
  </si>
  <si>
    <t>Tárkányi Béla Könyvtár és Művelődési Ház 2025. évi tervezett kiadásai  kötelező feladatonként</t>
  </si>
  <si>
    <t>Egyek Nagyközség Önkormányzat és költségvetési szervei 2025. évi működési  kiadásai kiemelt előirányzatonként</t>
  </si>
  <si>
    <t>Egyek Nagyközség Önkormányzat pénzügyi mérlege: 2023-2025. év</t>
  </si>
  <si>
    <t>2023. évi tény</t>
  </si>
  <si>
    <t xml:space="preserve">2024. évi várható teljesítés </t>
  </si>
  <si>
    <t xml:space="preserve">2025. évi előirányzat </t>
  </si>
  <si>
    <t>Egyek Nagyközség Önkormányzat 2025. évi előirányzat-felhasználási ütemterve</t>
  </si>
  <si>
    <t>Az önkormányzat által 2025. évben nyújtott közvetett támogatások előirányzata</t>
  </si>
  <si>
    <t xml:space="preserve">                                              Egyek Nagyközség Önkormányzata működési és felhalmozási célú bevételeinek és kiadásainak 2023. évi tényleges, 2024. évi várható és 2025. évi eredeti előirányzata mérleg rendszerben</t>
  </si>
  <si>
    <t>2023. évi tényleges teljesítés</t>
  </si>
  <si>
    <t>2024. évi várható teljesítés</t>
  </si>
  <si>
    <t>2025. évi eredeti előirányzat</t>
  </si>
  <si>
    <t>a 2025.</t>
  </si>
  <si>
    <t>2025. évben az Európai Unió költségvetéséből származó támogatással megvalósuló projektek</t>
  </si>
  <si>
    <t>2028.</t>
  </si>
  <si>
    <t>Egyek Nagyközség Önkormányzat 2025. évi adósságot keletkeztető fejlesztési céljai</t>
  </si>
  <si>
    <t>Fejlesztés várható kiadása 2034. év</t>
  </si>
  <si>
    <t>2028. évi előirányzat</t>
  </si>
  <si>
    <t>Egyeki Étterem fejlesztés (kivetítő kiépítése)</t>
  </si>
  <si>
    <t xml:space="preserve">Temető fejlesztés </t>
  </si>
  <si>
    <t>Gyepmesteri telep: kutya kennel besz., egyéb tárgyi eszköz beszerzés</t>
  </si>
  <si>
    <t>Tiszaparti kikötő fejlesztéssel kapcsolatos terv készítés</t>
  </si>
  <si>
    <t>066020</t>
  </si>
  <si>
    <t>Gépjármű beszerzés</t>
  </si>
  <si>
    <t>Fennmaradási engedélyehez kapcsoló terv készítés</t>
  </si>
  <si>
    <t>Háziorvosi alapellátás: egyéb tárgyi eszköz beszerzésbelső kamerarendszer kiépítése</t>
  </si>
  <si>
    <t>Falugondnoki-,tanyagondnoki szolgálat: egyéb tárgyi eszköz beszerzés</t>
  </si>
  <si>
    <t>Polgármesteri illetményhez és költségtérítéshez nyújtott támogatás</t>
  </si>
  <si>
    <t>2025. évi várható felhalmozási hitelfizetési kötelezettség (kamatok nélkül) összege:</t>
  </si>
  <si>
    <t>2025. évi várható adósságot keletkeztető ügyletek együttes összege:</t>
  </si>
  <si>
    <t>Külterületi utak fejlesztése projekt önerő fedezete (Mezőgazdasági út)</t>
  </si>
  <si>
    <t>074032 Ifjúság-egészségügyi gondozás</t>
  </si>
  <si>
    <t>086090 Egyéb szabadidős szolgáltatás</t>
  </si>
  <si>
    <t>074032 Ifjúság-egészségügy gondozás</t>
  </si>
  <si>
    <t>OMSZ támogatása</t>
  </si>
  <si>
    <t>041238</t>
  </si>
  <si>
    <t xml:space="preserve">Közfoglalkoztatási feladatok ellátásához szükséges targonca beszerzés </t>
  </si>
  <si>
    <t>2025. előtti kifizetés</t>
  </si>
  <si>
    <t>526320+53721</t>
  </si>
  <si>
    <t>381000+89535</t>
  </si>
  <si>
    <t>BDR Média Kft.</t>
  </si>
  <si>
    <t>B23. Felhalmozási célú visszatérítendő támogatások, kölcsönök visszatérülése államháztartáson belülről</t>
  </si>
  <si>
    <t>2025. Évi Költségvetési kiadások összesen</t>
  </si>
  <si>
    <t>2025. évi Költségvetési bevételek összesen</t>
  </si>
  <si>
    <t>2025. évi Költségvetési hiány:</t>
  </si>
  <si>
    <t>ebből:Központi, irányítószervi támogatás</t>
  </si>
  <si>
    <t>Egyek Nagyközség Önkormányzata Képviselő-testületének 26/2024. (XII.11.) sz.rendelet 7. § a) és c) pontja</t>
  </si>
  <si>
    <t>Egyek nagyközség Önkormányzat Képviselő-testületének 26/2024.. (XII.11.) sz.rendelet 7. § b.) pontja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</si>
</sst>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F_t_-;\-* #,##0.00\ _F_t_-;_-* &quot;-&quot;??\ _F_t_-;_-@_-"/>
    <numFmt numFmtId="164" formatCode="#,###"/>
    <numFmt numFmtId="165" formatCode="#"/>
    <numFmt numFmtId="166" formatCode="_-* #,##0\ _F_t_-;\-* #,##0\ _F_t_-;_-* &quot;-&quot;??\ _F_t_-;_-@_-"/>
    <numFmt numFmtId="167" formatCode="_-* #,##0.0\ _F_t_-;\-* #,##0.0\ _F_t_-;_-* &quot;-&quot;??\ _F_t_-;_-@_-"/>
    <numFmt numFmtId="168" formatCode="_-* #,##0.0\ _F_t_-;\-* #,##0.0\ _F_t_-;_-* &quot;-&quot;?\ _F_t_-;_-@_-"/>
  </numFmts>
  <fonts count="10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u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12"/>
      <name val="Arial"/>
      <family val="2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sz val="8"/>
      <name val="Times New Roman CE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u/>
      <sz val="8"/>
      <name val="Arial"/>
      <family val="2"/>
    </font>
    <font>
      <i/>
      <sz val="10"/>
      <name val="Arial"/>
      <family val="2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sz val="10"/>
      <name val="Times New Roman"/>
      <family val="1"/>
    </font>
    <font>
      <b/>
      <sz val="16"/>
      <name val="Arial"/>
      <family val="2"/>
      <charset val="238"/>
    </font>
    <font>
      <b/>
      <u/>
      <sz val="16"/>
      <name val="Arial"/>
      <family val="2"/>
      <charset val="238"/>
    </font>
    <font>
      <sz val="12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4"/>
      <name val="Arial CE"/>
      <family val="2"/>
      <charset val="238"/>
    </font>
    <font>
      <i/>
      <sz val="10"/>
      <name val="Arial CE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sz val="10"/>
      <name val="Arial CE"/>
      <family val="2"/>
      <charset val="238"/>
    </font>
    <font>
      <b/>
      <sz val="14"/>
      <name val="Times New Roman"/>
      <family val="1"/>
      <charset val="238"/>
    </font>
    <font>
      <i/>
      <sz val="10"/>
      <color indexed="8"/>
      <name val="Arial"/>
      <family val="2"/>
    </font>
    <font>
      <b/>
      <i/>
      <sz val="8"/>
      <color indexed="8"/>
      <name val="Arial"/>
      <family val="2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0"/>
      <name val="Times New Roman CE"/>
      <charset val="238"/>
    </font>
    <font>
      <b/>
      <i/>
      <sz val="8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i/>
      <sz val="11"/>
      <name val="Times New Roman CE"/>
      <charset val="238"/>
    </font>
    <font>
      <sz val="12"/>
      <name val="Arial"/>
      <family val="2"/>
      <charset val="238"/>
    </font>
    <font>
      <b/>
      <sz val="9"/>
      <name val="Arial CE"/>
      <charset val="238"/>
    </font>
    <font>
      <b/>
      <i/>
      <sz val="10"/>
      <name val="Times New Roman"/>
      <family val="1"/>
      <charset val="238"/>
    </font>
    <font>
      <b/>
      <i/>
      <sz val="11"/>
      <name val="Arial"/>
      <family val="2"/>
    </font>
    <font>
      <b/>
      <i/>
      <sz val="11"/>
      <name val="Times New Roman"/>
      <family val="1"/>
      <charset val="238"/>
    </font>
    <font>
      <i/>
      <sz val="11"/>
      <name val="Arial CE"/>
      <charset val="238"/>
    </font>
    <font>
      <b/>
      <sz val="11"/>
      <name val="Times New Roman CE"/>
      <charset val="238"/>
    </font>
    <font>
      <sz val="11"/>
      <name val="Times New Roman CE"/>
      <charset val="238"/>
    </font>
    <font>
      <b/>
      <sz val="16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i/>
      <sz val="8"/>
      <color indexed="8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10"/>
      <color indexed="8"/>
      <name val="Arial"/>
      <family val="2"/>
      <charset val="238"/>
    </font>
    <font>
      <b/>
      <sz val="16"/>
      <name val="Times New Roman CE"/>
      <family val="1"/>
      <charset val="238"/>
    </font>
    <font>
      <b/>
      <i/>
      <sz val="14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i/>
      <sz val="10"/>
      <color indexed="8"/>
      <name val="Arial CE"/>
      <charset val="238"/>
    </font>
    <font>
      <i/>
      <sz val="10"/>
      <color indexed="8"/>
      <name val="Arial"/>
      <family val="2"/>
    </font>
    <font>
      <i/>
      <sz val="10"/>
      <color indexed="8"/>
      <name val="Arial"/>
      <family val="2"/>
      <charset val="238"/>
    </font>
    <font>
      <b/>
      <sz val="12"/>
      <name val="Times New Roman CE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11"/>
      <color theme="1"/>
      <name val="Arial"/>
      <family val="2"/>
      <charset val="238"/>
    </font>
    <font>
      <b/>
      <sz val="12"/>
      <name val="Arial CE"/>
      <charset val="238"/>
    </font>
    <font>
      <sz val="10"/>
      <color rgb="FF000000"/>
      <name val="Times New Roman"/>
      <family val="1"/>
      <charset val="238"/>
    </font>
    <font>
      <i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sz val="8"/>
      <name val="Arial"/>
      <family val="2"/>
      <charset val="238"/>
    </font>
    <font>
      <b/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rgb="FFFF0000"/>
      <name val="Arial CE"/>
      <charset val="238"/>
    </font>
    <font>
      <sz val="11"/>
      <name val="Calibri"/>
      <family val="2"/>
      <charset val="238"/>
    </font>
    <font>
      <i/>
      <sz val="8"/>
      <name val="Arial CE"/>
      <charset val="238"/>
    </font>
    <font>
      <i/>
      <sz val="8"/>
      <color indexed="8"/>
      <name val="Arial CE"/>
      <charset val="238"/>
    </font>
    <font>
      <b/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53" fillId="0" borderId="0"/>
    <xf numFmtId="0" fontId="31" fillId="0" borderId="0"/>
    <xf numFmtId="0" fontId="49" fillId="0" borderId="0"/>
    <xf numFmtId="43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</cellStyleXfs>
  <cellXfs count="1078">
    <xf numFmtId="0" fontId="0" fillId="0" borderId="0" xfId="0"/>
    <xf numFmtId="0" fontId="0" fillId="0" borderId="0" xfId="0" applyBorder="1"/>
    <xf numFmtId="3" fontId="0" fillId="0" borderId="0" xfId="0" applyNumberFormat="1"/>
    <xf numFmtId="3" fontId="0" fillId="0" borderId="0" xfId="0" applyNumberFormat="1" applyBorder="1"/>
    <xf numFmtId="0" fontId="6" fillId="0" borderId="0" xfId="0" applyFont="1"/>
    <xf numFmtId="0" fontId="6" fillId="0" borderId="0" xfId="0" applyFont="1" applyBorder="1"/>
    <xf numFmtId="3" fontId="6" fillId="0" borderId="0" xfId="0" applyNumberFormat="1" applyFont="1" applyBorder="1"/>
    <xf numFmtId="3" fontId="6" fillId="0" borderId="0" xfId="0" applyNumberFormat="1" applyFont="1"/>
    <xf numFmtId="0" fontId="6" fillId="0" borderId="0" xfId="0" applyFont="1" applyFill="1" applyBorder="1"/>
    <xf numFmtId="3" fontId="6" fillId="0" borderId="0" xfId="0" applyNumberFormat="1" applyFont="1" applyBorder="1" applyAlignment="1">
      <alignment horizontal="right"/>
    </xf>
    <xf numFmtId="0" fontId="7" fillId="0" borderId="0" xfId="0" applyFont="1"/>
    <xf numFmtId="0" fontId="7" fillId="0" borderId="0" xfId="0" applyFont="1" applyBorder="1"/>
    <xf numFmtId="3" fontId="7" fillId="0" borderId="0" xfId="0" applyNumberFormat="1" applyFont="1" applyBorder="1"/>
    <xf numFmtId="0" fontId="7" fillId="0" borderId="2" xfId="0" applyFont="1" applyBorder="1"/>
    <xf numFmtId="3" fontId="6" fillId="0" borderId="0" xfId="0" applyNumberFormat="1" applyFont="1" applyBorder="1" applyAlignment="1"/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16" fillId="0" borderId="8" xfId="0" applyFont="1" applyBorder="1"/>
    <xf numFmtId="0" fontId="14" fillId="0" borderId="0" xfId="0" applyFont="1"/>
    <xf numFmtId="0" fontId="9" fillId="0" borderId="0" xfId="0" applyFont="1" applyAlignment="1"/>
    <xf numFmtId="0" fontId="16" fillId="0" borderId="0" xfId="0" applyFont="1" applyBorder="1"/>
    <xf numFmtId="0" fontId="14" fillId="0" borderId="1" xfId="0" applyFont="1" applyBorder="1"/>
    <xf numFmtId="0" fontId="9" fillId="0" borderId="8" xfId="0" applyFont="1" applyBorder="1" applyAlignment="1"/>
    <xf numFmtId="0" fontId="19" fillId="0" borderId="0" xfId="0" applyFont="1" applyAlignment="1"/>
    <xf numFmtId="0" fontId="16" fillId="0" borderId="9" xfId="0" applyFont="1" applyBorder="1"/>
    <xf numFmtId="0" fontId="14" fillId="0" borderId="10" xfId="0" applyFont="1" applyBorder="1"/>
    <xf numFmtId="0" fontId="14" fillId="0" borderId="11" xfId="0" applyFont="1" applyBorder="1"/>
    <xf numFmtId="0" fontId="14" fillId="0" borderId="12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1" fillId="0" borderId="0" xfId="0" applyFont="1" applyBorder="1"/>
    <xf numFmtId="3" fontId="20" fillId="2" borderId="0" xfId="0" applyNumberFormat="1" applyFont="1" applyFill="1" applyBorder="1" applyAlignment="1">
      <alignment horizontal="center"/>
    </xf>
    <xf numFmtId="0" fontId="20" fillId="0" borderId="0" xfId="0" applyFont="1" applyBorder="1"/>
    <xf numFmtId="0" fontId="21" fillId="0" borderId="0" xfId="0" applyFont="1"/>
    <xf numFmtId="0" fontId="20" fillId="0" borderId="13" xfId="0" applyFont="1" applyBorder="1" applyAlignment="1">
      <alignment horizontal="left"/>
    </xf>
    <xf numFmtId="0" fontId="20" fillId="0" borderId="13" xfId="0" applyFont="1" applyBorder="1" applyAlignment="1">
      <alignment horizontal="center"/>
    </xf>
    <xf numFmtId="0" fontId="20" fillId="0" borderId="13" xfId="0" applyFont="1" applyBorder="1"/>
    <xf numFmtId="3" fontId="21" fillId="0" borderId="13" xfId="0" applyNumberFormat="1" applyFont="1" applyBorder="1"/>
    <xf numFmtId="0" fontId="20" fillId="0" borderId="0" xfId="0" applyFont="1"/>
    <xf numFmtId="3" fontId="21" fillId="0" borderId="0" xfId="0" applyNumberFormat="1" applyFont="1"/>
    <xf numFmtId="164" fontId="30" fillId="0" borderId="0" xfId="4" applyNumberFormat="1" applyFont="1" applyFill="1" applyBorder="1" applyAlignment="1" applyProtection="1">
      <alignment horizontal="centerContinuous" vertical="center"/>
    </xf>
    <xf numFmtId="0" fontId="35" fillId="0" borderId="13" xfId="0" applyFont="1" applyBorder="1"/>
    <xf numFmtId="3" fontId="22" fillId="0" borderId="13" xfId="0" applyNumberFormat="1" applyFont="1" applyBorder="1"/>
    <xf numFmtId="0" fontId="16" fillId="0" borderId="14" xfId="4" applyFont="1" applyFill="1" applyBorder="1" applyAlignment="1" applyProtection="1">
      <alignment horizontal="center" vertical="center" wrapText="1"/>
    </xf>
    <xf numFmtId="0" fontId="16" fillId="0" borderId="15" xfId="4" applyFont="1" applyFill="1" applyBorder="1" applyAlignment="1" applyProtection="1">
      <alignment horizontal="center" vertical="center" wrapText="1"/>
    </xf>
    <xf numFmtId="0" fontId="16" fillId="0" borderId="16" xfId="4" applyFont="1" applyFill="1" applyBorder="1" applyAlignment="1" applyProtection="1">
      <alignment horizontal="center" vertical="center" wrapText="1"/>
    </xf>
    <xf numFmtId="0" fontId="16" fillId="0" borderId="17" xfId="4" applyFont="1" applyFill="1" applyBorder="1" applyAlignment="1" applyProtection="1">
      <alignment horizontal="left" vertical="center" wrapText="1" indent="1"/>
    </xf>
    <xf numFmtId="0" fontId="14" fillId="0" borderId="13" xfId="4" applyFont="1" applyFill="1" applyBorder="1" applyAlignment="1" applyProtection="1">
      <alignment horizontal="left" vertical="center" wrapText="1" indent="1"/>
    </xf>
    <xf numFmtId="0" fontId="14" fillId="0" borderId="18" xfId="4" applyFont="1" applyFill="1" applyBorder="1" applyAlignment="1" applyProtection="1">
      <alignment horizontal="left" vertical="center" wrapText="1" indent="1"/>
    </xf>
    <xf numFmtId="0" fontId="14" fillId="0" borderId="19" xfId="4" applyFont="1" applyFill="1" applyBorder="1" applyAlignment="1" applyProtection="1">
      <alignment horizontal="left" vertical="center" wrapText="1" indent="1"/>
    </xf>
    <xf numFmtId="0" fontId="16" fillId="0" borderId="9" xfId="4" applyFont="1" applyFill="1" applyBorder="1" applyAlignment="1" applyProtection="1">
      <alignment horizontal="left" vertical="center" wrapText="1" indent="1"/>
    </xf>
    <xf numFmtId="164" fontId="16" fillId="0" borderId="7" xfId="4" applyNumberFormat="1" applyFont="1" applyFill="1" applyBorder="1" applyAlignment="1" applyProtection="1">
      <alignment horizontal="centerContinuous" vertical="center"/>
    </xf>
    <xf numFmtId="0" fontId="16" fillId="0" borderId="20" xfId="4" applyFont="1" applyFill="1" applyBorder="1" applyAlignment="1" applyProtection="1">
      <alignment vertical="center" wrapText="1"/>
    </xf>
    <xf numFmtId="0" fontId="14" fillId="0" borderId="21" xfId="4" applyFont="1" applyFill="1" applyBorder="1" applyAlignment="1" applyProtection="1">
      <alignment horizontal="left" vertical="center" wrapText="1" indent="1"/>
    </xf>
    <xf numFmtId="0" fontId="16" fillId="0" borderId="15" xfId="4" applyFont="1" applyFill="1" applyBorder="1" applyAlignment="1" applyProtection="1">
      <alignment vertical="center" wrapText="1"/>
    </xf>
    <xf numFmtId="0" fontId="37" fillId="0" borderId="0" xfId="0" applyFont="1"/>
    <xf numFmtId="0" fontId="14" fillId="0" borderId="24" xfId="0" applyFont="1" applyBorder="1"/>
    <xf numFmtId="0" fontId="14" fillId="0" borderId="25" xfId="0" applyFont="1" applyBorder="1"/>
    <xf numFmtId="0" fontId="9" fillId="0" borderId="0" xfId="0" applyFont="1" applyBorder="1" applyAlignment="1">
      <alignment horizontal="center"/>
    </xf>
    <xf numFmtId="0" fontId="16" fillId="0" borderId="0" xfId="0" applyFont="1" applyBorder="1" applyAlignment="1"/>
    <xf numFmtId="3" fontId="16" fillId="0" borderId="0" xfId="0" applyNumberFormat="1" applyFont="1" applyBorder="1" applyAlignment="1"/>
    <xf numFmtId="0" fontId="16" fillId="0" borderId="26" xfId="0" applyFont="1" applyBorder="1"/>
    <xf numFmtId="166" fontId="15" fillId="2" borderId="8" xfId="1" applyNumberFormat="1" applyFont="1" applyFill="1" applyBorder="1"/>
    <xf numFmtId="0" fontId="20" fillId="0" borderId="13" xfId="0" applyFont="1" applyFill="1" applyBorder="1"/>
    <xf numFmtId="3" fontId="21" fillId="0" borderId="13" xfId="0" applyNumberFormat="1" applyFont="1" applyFill="1" applyBorder="1"/>
    <xf numFmtId="0" fontId="0" fillId="0" borderId="0" xfId="0" applyFill="1"/>
    <xf numFmtId="0" fontId="5" fillId="0" borderId="0" xfId="0" applyFont="1"/>
    <xf numFmtId="0" fontId="26" fillId="0" borderId="0" xfId="0" applyFont="1" applyAlignment="1">
      <alignment horizontal="center"/>
    </xf>
    <xf numFmtId="3" fontId="13" fillId="0" borderId="0" xfId="0" applyNumberFormat="1" applyFont="1"/>
    <xf numFmtId="3" fontId="27" fillId="0" borderId="0" xfId="0" applyNumberFormat="1" applyFont="1"/>
    <xf numFmtId="3" fontId="15" fillId="0" borderId="0" xfId="0" applyNumberFormat="1" applyFont="1"/>
    <xf numFmtId="3" fontId="42" fillId="0" borderId="0" xfId="0" applyNumberFormat="1" applyFont="1"/>
    <xf numFmtId="0" fontId="4" fillId="0" borderId="0" xfId="0" applyFont="1" applyAlignment="1">
      <alignment horizontal="center"/>
    </xf>
    <xf numFmtId="0" fontId="43" fillId="0" borderId="0" xfId="0" applyFont="1"/>
    <xf numFmtId="166" fontId="16" fillId="0" borderId="16" xfId="1" applyNumberFormat="1" applyFont="1" applyFill="1" applyBorder="1" applyAlignment="1" applyProtection="1">
      <alignment vertical="center" wrapText="1"/>
    </xf>
    <xf numFmtId="166" fontId="16" fillId="0" borderId="27" xfId="1" applyNumberFormat="1" applyFont="1" applyFill="1" applyBorder="1" applyAlignment="1" applyProtection="1">
      <alignment vertical="center" wrapText="1"/>
    </xf>
    <xf numFmtId="166" fontId="16" fillId="0" borderId="28" xfId="1" applyNumberFormat="1" applyFont="1" applyFill="1" applyBorder="1" applyAlignment="1" applyProtection="1">
      <alignment vertical="center" wrapText="1"/>
    </xf>
    <xf numFmtId="166" fontId="14" fillId="0" borderId="29" xfId="1" applyNumberFormat="1" applyFont="1" applyFill="1" applyBorder="1" applyAlignment="1" applyProtection="1">
      <alignment vertical="center" wrapText="1"/>
    </xf>
    <xf numFmtId="166" fontId="14" fillId="0" borderId="30" xfId="1" applyNumberFormat="1" applyFont="1" applyFill="1" applyBorder="1" applyAlignment="1" applyProtection="1">
      <alignment vertical="center" wrapText="1"/>
    </xf>
    <xf numFmtId="166" fontId="5" fillId="0" borderId="8" xfId="1" applyNumberFormat="1" applyFont="1" applyBorder="1" applyAlignment="1">
      <alignment horizontal="center"/>
    </xf>
    <xf numFmtId="0" fontId="46" fillId="0" borderId="0" xfId="0" applyFont="1"/>
    <xf numFmtId="0" fontId="48" fillId="0" borderId="0" xfId="0" applyFont="1"/>
    <xf numFmtId="0" fontId="16" fillId="0" borderId="27" xfId="4" applyFont="1" applyFill="1" applyBorder="1" applyAlignment="1" applyProtection="1">
      <alignment horizontal="left" vertical="center" wrapText="1" indent="1"/>
    </xf>
    <xf numFmtId="166" fontId="16" fillId="0" borderId="8" xfId="1" applyNumberFormat="1" applyFont="1" applyFill="1" applyBorder="1" applyAlignment="1" applyProtection="1">
      <alignment vertical="center" wrapText="1"/>
    </xf>
    <xf numFmtId="0" fontId="16" fillId="0" borderId="0" xfId="4" applyFont="1" applyFill="1" applyBorder="1" applyAlignment="1" applyProtection="1">
      <alignment horizontal="center" vertical="center" wrapText="1"/>
    </xf>
    <xf numFmtId="0" fontId="14" fillId="0" borderId="0" xfId="4" applyFont="1" applyFill="1" applyBorder="1" applyAlignment="1" applyProtection="1">
      <alignment horizontal="left" vertical="center"/>
    </xf>
    <xf numFmtId="49" fontId="14" fillId="0" borderId="0" xfId="4" applyNumberFormat="1" applyFont="1" applyFill="1" applyBorder="1" applyAlignment="1" applyProtection="1">
      <alignment horizontal="left" vertical="center"/>
    </xf>
    <xf numFmtId="0" fontId="16" fillId="0" borderId="31" xfId="0" applyFont="1" applyBorder="1"/>
    <xf numFmtId="166" fontId="14" fillId="0" borderId="24" xfId="1" applyNumberFormat="1" applyFont="1" applyBorder="1"/>
    <xf numFmtId="3" fontId="21" fillId="2" borderId="0" xfId="0" applyNumberFormat="1" applyFont="1" applyFill="1" applyBorder="1" applyAlignment="1"/>
    <xf numFmtId="3" fontId="22" fillId="2" borderId="0" xfId="0" applyNumberFormat="1" applyFont="1" applyFill="1" applyBorder="1" applyAlignment="1"/>
    <xf numFmtId="0" fontId="20" fillId="2" borderId="0" xfId="0" applyFont="1" applyFill="1" applyBorder="1" applyAlignment="1"/>
    <xf numFmtId="0" fontId="20" fillId="0" borderId="13" xfId="0" applyFont="1" applyBorder="1" applyAlignment="1">
      <alignment wrapText="1"/>
    </xf>
    <xf numFmtId="166" fontId="6" fillId="0" borderId="0" xfId="1" applyNumberFormat="1" applyFont="1"/>
    <xf numFmtId="166" fontId="15" fillId="0" borderId="8" xfId="1" applyNumberFormat="1" applyFont="1" applyFill="1" applyBorder="1"/>
    <xf numFmtId="166" fontId="0" fillId="0" borderId="0" xfId="0" applyNumberFormat="1"/>
    <xf numFmtId="166" fontId="14" fillId="0" borderId="0" xfId="1" applyNumberFormat="1" applyFont="1"/>
    <xf numFmtId="0" fontId="14" fillId="0" borderId="23" xfId="4" applyFont="1" applyFill="1" applyBorder="1" applyAlignment="1" applyProtection="1">
      <alignment horizontal="left" vertical="center" wrapText="1" indent="2"/>
    </xf>
    <xf numFmtId="166" fontId="14" fillId="0" borderId="32" xfId="1" applyNumberFormat="1" applyFont="1" applyFill="1" applyBorder="1" applyAlignment="1" applyProtection="1"/>
    <xf numFmtId="0" fontId="8" fillId="0" borderId="8" xfId="0" applyFont="1" applyBorder="1"/>
    <xf numFmtId="0" fontId="16" fillId="2" borderId="8" xfId="0" applyFont="1" applyFill="1" applyBorder="1" applyAlignment="1">
      <alignment horizontal="center"/>
    </xf>
    <xf numFmtId="0" fontId="0" fillId="2" borderId="0" xfId="0" applyFill="1"/>
    <xf numFmtId="0" fontId="2" fillId="0" borderId="0" xfId="0" applyFont="1"/>
    <xf numFmtId="166" fontId="8" fillId="2" borderId="8" xfId="1" applyNumberFormat="1" applyFont="1" applyFill="1" applyBorder="1"/>
    <xf numFmtId="0" fontId="8" fillId="0" borderId="0" xfId="0" applyFont="1" applyBorder="1"/>
    <xf numFmtId="0" fontId="9" fillId="0" borderId="9" xfId="0" applyFont="1" applyBorder="1" applyAlignment="1"/>
    <xf numFmtId="0" fontId="0" fillId="0" borderId="0" xfId="0" applyAlignment="1">
      <alignment horizontal="center"/>
    </xf>
    <xf numFmtId="166" fontId="37" fillId="0" borderId="0" xfId="1" applyNumberFormat="1" applyFont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2" borderId="0" xfId="0" applyFont="1" applyFill="1" applyBorder="1" applyAlignment="1">
      <alignment horizontal="center" wrapText="1"/>
    </xf>
    <xf numFmtId="0" fontId="29" fillId="2" borderId="0" xfId="0" applyFont="1" applyFill="1" applyBorder="1" applyAlignment="1">
      <alignment horizontal="center" wrapText="1"/>
    </xf>
    <xf numFmtId="3" fontId="29" fillId="2" borderId="8" xfId="0" applyNumberFormat="1" applyFont="1" applyFill="1" applyBorder="1"/>
    <xf numFmtId="3" fontId="0" fillId="2" borderId="0" xfId="0" applyNumberFormat="1" applyFill="1"/>
    <xf numFmtId="0" fontId="39" fillId="2" borderId="0" xfId="0" applyFont="1" applyFill="1"/>
    <xf numFmtId="3" fontId="39" fillId="2" borderId="0" xfId="0" applyNumberFormat="1" applyFont="1" applyFill="1"/>
    <xf numFmtId="3" fontId="6" fillId="2" borderId="0" xfId="0" applyNumberFormat="1" applyFont="1" applyFill="1"/>
    <xf numFmtId="0" fontId="6" fillId="2" borderId="0" xfId="0" applyFont="1" applyFill="1"/>
    <xf numFmtId="0" fontId="16" fillId="0" borderId="3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3" fontId="15" fillId="0" borderId="0" xfId="0" applyNumberFormat="1" applyFont="1" applyAlignment="1">
      <alignment horizontal="center"/>
    </xf>
    <xf numFmtId="0" fontId="54" fillId="0" borderId="0" xfId="4" applyFont="1" applyFill="1"/>
    <xf numFmtId="164" fontId="34" fillId="0" borderId="0" xfId="4" applyNumberFormat="1" applyFont="1" applyFill="1" applyBorder="1" applyAlignment="1" applyProtection="1">
      <alignment horizontal="centerContinuous" vertical="center"/>
    </xf>
    <xf numFmtId="0" fontId="55" fillId="0" borderId="0" xfId="3" applyFont="1" applyFill="1" applyBorder="1" applyAlignment="1" applyProtection="1"/>
    <xf numFmtId="0" fontId="57" fillId="0" borderId="21" xfId="4" applyFont="1" applyFill="1" applyBorder="1" applyAlignment="1">
      <alignment horizontal="center" vertical="center" wrapText="1"/>
    </xf>
    <xf numFmtId="0" fontId="58" fillId="0" borderId="0" xfId="3" applyFont="1" applyFill="1" applyBorder="1" applyAlignment="1" applyProtection="1">
      <alignment horizontal="right"/>
    </xf>
    <xf numFmtId="0" fontId="59" fillId="0" borderId="22" xfId="4" applyFont="1" applyFill="1" applyBorder="1" applyAlignment="1" applyProtection="1">
      <alignment horizontal="center" vertical="center" wrapText="1"/>
    </xf>
    <xf numFmtId="0" fontId="59" fillId="0" borderId="19" xfId="4" applyFont="1" applyFill="1" applyBorder="1" applyAlignment="1" applyProtection="1">
      <alignment horizontal="center" vertical="center" wrapText="1"/>
    </xf>
    <xf numFmtId="0" fontId="59" fillId="0" borderId="34" xfId="4" applyFont="1" applyFill="1" applyBorder="1" applyAlignment="1" applyProtection="1">
      <alignment horizontal="center" vertical="center" wrapText="1"/>
    </xf>
    <xf numFmtId="0" fontId="32" fillId="0" borderId="14" xfId="4" applyFont="1" applyFill="1" applyBorder="1" applyAlignment="1" applyProtection="1">
      <alignment horizontal="center" vertical="center"/>
    </xf>
    <xf numFmtId="0" fontId="32" fillId="0" borderId="15" xfId="4" applyFont="1" applyFill="1" applyBorder="1" applyAlignment="1" applyProtection="1">
      <alignment horizontal="center" vertical="center"/>
    </xf>
    <xf numFmtId="0" fontId="32" fillId="0" borderId="22" xfId="4" applyFont="1" applyFill="1" applyBorder="1" applyAlignment="1" applyProtection="1">
      <alignment horizontal="center" vertical="center"/>
    </xf>
    <xf numFmtId="0" fontId="32" fillId="0" borderId="23" xfId="4" applyFont="1" applyFill="1" applyBorder="1" applyAlignment="1" applyProtection="1">
      <alignment horizontal="center" vertical="center"/>
    </xf>
    <xf numFmtId="0" fontId="32" fillId="0" borderId="35" xfId="4" applyFont="1" applyFill="1" applyBorder="1" applyAlignment="1" applyProtection="1">
      <alignment horizontal="center" vertical="center"/>
    </xf>
    <xf numFmtId="0" fontId="14" fillId="0" borderId="24" xfId="0" applyFont="1" applyBorder="1" applyAlignment="1">
      <alignment wrapText="1"/>
    </xf>
    <xf numFmtId="0" fontId="16" fillId="0" borderId="8" xfId="0" applyFont="1" applyBorder="1" applyAlignment="1">
      <alignment wrapText="1"/>
    </xf>
    <xf numFmtId="3" fontId="16" fillId="0" borderId="8" xfId="0" applyNumberFormat="1" applyFont="1" applyBorder="1" applyAlignment="1">
      <alignment horizontal="center"/>
    </xf>
    <xf numFmtId="166" fontId="14" fillId="0" borderId="10" xfId="1" applyNumberFormat="1" applyFont="1" applyBorder="1"/>
    <xf numFmtId="166" fontId="14" fillId="0" borderId="11" xfId="1" applyNumberFormat="1" applyFont="1" applyBorder="1"/>
    <xf numFmtId="166" fontId="14" fillId="0" borderId="12" xfId="1" applyNumberFormat="1" applyFont="1" applyBorder="1"/>
    <xf numFmtId="3" fontId="14" fillId="0" borderId="13" xfId="0" applyNumberFormat="1" applyFont="1" applyBorder="1" applyAlignment="1">
      <alignment horizontal="center"/>
    </xf>
    <xf numFmtId="166" fontId="14" fillId="0" borderId="36" xfId="1" applyNumberFormat="1" applyFont="1" applyBorder="1" applyAlignment="1">
      <alignment horizontal="center"/>
    </xf>
    <xf numFmtId="166" fontId="14" fillId="0" borderId="37" xfId="1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166" fontId="14" fillId="0" borderId="0" xfId="1" applyNumberFormat="1" applyFont="1" applyBorder="1" applyAlignment="1">
      <alignment horizontal="center"/>
    </xf>
    <xf numFmtId="3" fontId="16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166" fontId="14" fillId="0" borderId="1" xfId="1" applyNumberFormat="1" applyFont="1" applyBorder="1" applyAlignment="1">
      <alignment horizontal="center"/>
    </xf>
    <xf numFmtId="3" fontId="6" fillId="0" borderId="0" xfId="0" applyNumberFormat="1" applyFont="1" applyFill="1" applyBorder="1"/>
    <xf numFmtId="166" fontId="14" fillId="0" borderId="38" xfId="1" applyNumberFormat="1" applyFont="1" applyBorder="1"/>
    <xf numFmtId="0" fontId="61" fillId="0" borderId="0" xfId="4" applyFont="1" applyFill="1"/>
    <xf numFmtId="166" fontId="2" fillId="0" borderId="0" xfId="1" applyNumberFormat="1" applyFont="1"/>
    <xf numFmtId="0" fontId="8" fillId="2" borderId="7" xfId="0" applyFont="1" applyFill="1" applyBorder="1" applyAlignment="1">
      <alignment horizontal="center"/>
    </xf>
    <xf numFmtId="166" fontId="63" fillId="0" borderId="0" xfId="1" applyNumberFormat="1" applyFont="1"/>
    <xf numFmtId="0" fontId="63" fillId="0" borderId="0" xfId="0" applyFont="1"/>
    <xf numFmtId="3" fontId="20" fillId="2" borderId="8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/>
    <xf numFmtId="0" fontId="5" fillId="2" borderId="0" xfId="0" applyFont="1" applyFill="1"/>
    <xf numFmtId="166" fontId="17" fillId="0" borderId="8" xfId="1" applyNumberFormat="1" applyFont="1" applyFill="1" applyBorder="1" applyAlignment="1" applyProtection="1">
      <alignment vertical="center" wrapText="1"/>
    </xf>
    <xf numFmtId="0" fontId="14" fillId="0" borderId="9" xfId="4" applyFont="1" applyFill="1" applyBorder="1" applyAlignment="1" applyProtection="1">
      <alignment horizontal="left" vertical="center" wrapText="1"/>
    </xf>
    <xf numFmtId="166" fontId="14" fillId="0" borderId="27" xfId="1" applyNumberFormat="1" applyFont="1" applyFill="1" applyBorder="1" applyAlignment="1" applyProtection="1">
      <alignment vertical="center" wrapText="1"/>
    </xf>
    <xf numFmtId="0" fontId="16" fillId="0" borderId="27" xfId="4" applyFont="1" applyFill="1" applyBorder="1" applyAlignment="1" applyProtection="1">
      <alignment vertical="center" wrapText="1"/>
    </xf>
    <xf numFmtId="166" fontId="3" fillId="0" borderId="8" xfId="1" applyNumberFormat="1" applyFont="1" applyFill="1" applyBorder="1" applyAlignment="1">
      <alignment horizontal="center"/>
    </xf>
    <xf numFmtId="0" fontId="14" fillId="0" borderId="25" xfId="0" applyFont="1" applyBorder="1" applyAlignment="1">
      <alignment wrapText="1"/>
    </xf>
    <xf numFmtId="3" fontId="82" fillId="0" borderId="0" xfId="0" applyNumberFormat="1" applyFont="1" applyBorder="1"/>
    <xf numFmtId="0" fontId="83" fillId="0" borderId="0" xfId="0" applyFont="1"/>
    <xf numFmtId="3" fontId="64" fillId="0" borderId="0" xfId="0" applyNumberFormat="1" applyFont="1" applyBorder="1"/>
    <xf numFmtId="3" fontId="65" fillId="2" borderId="4" xfId="0" applyNumberFormat="1" applyFont="1" applyFill="1" applyBorder="1" applyAlignment="1">
      <alignment vertical="center"/>
    </xf>
    <xf numFmtId="3" fontId="66" fillId="0" borderId="0" xfId="0" applyNumberFormat="1" applyFont="1" applyBorder="1"/>
    <xf numFmtId="0" fontId="67" fillId="0" borderId="0" xfId="0" applyFont="1"/>
    <xf numFmtId="164" fontId="34" fillId="0" borderId="0" xfId="4" applyNumberFormat="1" applyFont="1" applyFill="1" applyBorder="1" applyAlignment="1" applyProtection="1">
      <alignment horizontal="center" vertical="center"/>
    </xf>
    <xf numFmtId="166" fontId="16" fillId="0" borderId="8" xfId="1" applyNumberFormat="1" applyFont="1" applyBorder="1"/>
    <xf numFmtId="166" fontId="14" fillId="0" borderId="25" xfId="1" applyNumberFormat="1" applyFont="1" applyBorder="1"/>
    <xf numFmtId="166" fontId="16" fillId="0" borderId="33" xfId="1" applyNumberFormat="1" applyFont="1" applyBorder="1"/>
    <xf numFmtId="166" fontId="16" fillId="0" borderId="4" xfId="1" applyNumberFormat="1" applyFont="1" applyBorder="1"/>
    <xf numFmtId="0" fontId="16" fillId="0" borderId="20" xfId="4" applyFont="1" applyFill="1" applyBorder="1" applyAlignment="1" applyProtection="1">
      <alignment horizontal="left" vertical="center" wrapText="1" indent="1"/>
    </xf>
    <xf numFmtId="3" fontId="15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27" fillId="0" borderId="0" xfId="0" applyNumberFormat="1" applyFont="1" applyAlignment="1">
      <alignment vertical="center"/>
    </xf>
    <xf numFmtId="166" fontId="68" fillId="0" borderId="43" xfId="1" applyNumberFormat="1" applyFont="1" applyFill="1" applyBorder="1" applyProtection="1"/>
    <xf numFmtId="0" fontId="69" fillId="0" borderId="0" xfId="4" applyFont="1" applyFill="1"/>
    <xf numFmtId="0" fontId="68" fillId="0" borderId="0" xfId="4" applyFont="1" applyFill="1"/>
    <xf numFmtId="9" fontId="68" fillId="0" borderId="8" xfId="1" applyNumberFormat="1" applyFont="1" applyFill="1" applyBorder="1" applyAlignment="1">
      <alignment horizontal="center"/>
    </xf>
    <xf numFmtId="0" fontId="9" fillId="0" borderId="0" xfId="0" applyFont="1" applyAlignment="1">
      <alignment wrapText="1"/>
    </xf>
    <xf numFmtId="166" fontId="14" fillId="0" borderId="0" xfId="1" applyNumberFormat="1" applyFont="1" applyFill="1" applyBorder="1"/>
    <xf numFmtId="164" fontId="14" fillId="0" borderId="45" xfId="4" applyNumberFormat="1" applyFont="1" applyFill="1" applyBorder="1" applyAlignment="1" applyProtection="1">
      <alignment horizontal="center" vertical="center" wrapText="1"/>
      <protection locked="0"/>
    </xf>
    <xf numFmtId="166" fontId="14" fillId="0" borderId="37" xfId="1" applyNumberFormat="1" applyFont="1" applyFill="1" applyBorder="1" applyAlignment="1">
      <alignment horizontal="center"/>
    </xf>
    <xf numFmtId="166" fontId="14" fillId="0" borderId="36" xfId="1" applyNumberFormat="1" applyFont="1" applyFill="1" applyBorder="1" applyAlignment="1">
      <alignment horizontal="center"/>
    </xf>
    <xf numFmtId="3" fontId="71" fillId="2" borderId="8" xfId="0" applyNumberFormat="1" applyFont="1" applyFill="1" applyBorder="1"/>
    <xf numFmtId="166" fontId="72" fillId="0" borderId="0" xfId="1" applyNumberFormat="1" applyFont="1"/>
    <xf numFmtId="0" fontId="72" fillId="0" borderId="0" xfId="0" applyFont="1"/>
    <xf numFmtId="166" fontId="73" fillId="0" borderId="0" xfId="1" applyNumberFormat="1" applyFont="1"/>
    <xf numFmtId="0" fontId="73" fillId="0" borderId="0" xfId="0" applyFont="1"/>
    <xf numFmtId="166" fontId="46" fillId="0" borderId="0" xfId="1" applyNumberFormat="1" applyFont="1"/>
    <xf numFmtId="0" fontId="0" fillId="0" borderId="0" xfId="0" applyAlignment="1">
      <alignment horizontal="right"/>
    </xf>
    <xf numFmtId="0" fontId="14" fillId="0" borderId="13" xfId="0" applyFont="1" applyBorder="1"/>
    <xf numFmtId="166" fontId="15" fillId="2" borderId="13" xfId="1" applyNumberFormat="1" applyFont="1" applyFill="1" applyBorder="1"/>
    <xf numFmtId="166" fontId="5" fillId="0" borderId="13" xfId="1" applyNumberFormat="1" applyFont="1" applyBorder="1" applyAlignment="1">
      <alignment horizontal="center"/>
    </xf>
    <xf numFmtId="166" fontId="12" fillId="0" borderId="13" xfId="1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right"/>
    </xf>
    <xf numFmtId="166" fontId="14" fillId="0" borderId="8" xfId="1" applyNumberFormat="1" applyFont="1" applyBorder="1" applyAlignment="1">
      <alignment horizontal="center"/>
    </xf>
    <xf numFmtId="0" fontId="16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19" fillId="0" borderId="0" xfId="0" applyFont="1" applyBorder="1" applyAlignment="1">
      <alignment horizontal="right"/>
    </xf>
    <xf numFmtId="0" fontId="0" fillId="0" borderId="0" xfId="0" applyFont="1"/>
    <xf numFmtId="166" fontId="14" fillId="0" borderId="8" xfId="1" applyNumberFormat="1" applyFont="1" applyBorder="1"/>
    <xf numFmtId="166" fontId="14" fillId="0" borderId="8" xfId="1" applyNumberFormat="1" applyFont="1" applyBorder="1" applyAlignment="1">
      <alignment wrapText="1"/>
    </xf>
    <xf numFmtId="166" fontId="8" fillId="0" borderId="8" xfId="1" applyNumberFormat="1" applyFont="1" applyBorder="1" applyAlignment="1">
      <alignment horizontal="center"/>
    </xf>
    <xf numFmtId="166" fontId="6" fillId="0" borderId="13" xfId="1" applyNumberFormat="1" applyFont="1" applyBorder="1"/>
    <xf numFmtId="166" fontId="6" fillId="0" borderId="19" xfId="1" applyNumberFormat="1" applyFont="1" applyBorder="1"/>
    <xf numFmtId="166" fontId="6" fillId="0" borderId="39" xfId="1" applyNumberFormat="1" applyFont="1" applyBorder="1"/>
    <xf numFmtId="166" fontId="6" fillId="0" borderId="32" xfId="1" applyNumberFormat="1" applyFont="1" applyBorder="1"/>
    <xf numFmtId="0" fontId="6" fillId="0" borderId="23" xfId="0" applyFont="1" applyBorder="1"/>
    <xf numFmtId="166" fontId="6" fillId="0" borderId="30" xfId="1" applyNumberFormat="1" applyFont="1" applyBorder="1"/>
    <xf numFmtId="166" fontId="6" fillId="0" borderId="29" xfId="1" applyNumberFormat="1" applyFont="1" applyBorder="1"/>
    <xf numFmtId="166" fontId="6" fillId="0" borderId="47" xfId="1" applyNumberFormat="1" applyFont="1" applyBorder="1"/>
    <xf numFmtId="3" fontId="6" fillId="0" borderId="22" xfId="0" applyNumberFormat="1" applyFont="1" applyBorder="1" applyAlignment="1">
      <alignment wrapText="1"/>
    </xf>
    <xf numFmtId="3" fontId="6" fillId="0" borderId="23" xfId="0" applyNumberFormat="1" applyFont="1" applyBorder="1"/>
    <xf numFmtId="3" fontId="6" fillId="0" borderId="23" xfId="0" applyNumberFormat="1" applyFont="1" applyBorder="1" applyAlignment="1">
      <alignment wrapText="1"/>
    </xf>
    <xf numFmtId="3" fontId="6" fillId="0" borderId="48" xfId="0" applyNumberFormat="1" applyFont="1" applyBorder="1" applyAlignment="1">
      <alignment wrapText="1"/>
    </xf>
    <xf numFmtId="166" fontId="6" fillId="0" borderId="40" xfId="1" applyNumberFormat="1" applyFont="1" applyFill="1" applyBorder="1"/>
    <xf numFmtId="3" fontId="29" fillId="0" borderId="13" xfId="0" applyNumberFormat="1" applyFont="1" applyFill="1" applyBorder="1"/>
    <xf numFmtId="3" fontId="28" fillId="0" borderId="8" xfId="0" applyNumberFormat="1" applyFont="1" applyFill="1" applyBorder="1" applyAlignment="1">
      <alignment wrapText="1"/>
    </xf>
    <xf numFmtId="3" fontId="75" fillId="0" borderId="2" xfId="0" applyNumberFormat="1" applyFont="1" applyFill="1" applyBorder="1" applyAlignment="1">
      <alignment wrapText="1"/>
    </xf>
    <xf numFmtId="3" fontId="29" fillId="0" borderId="15" xfId="0" applyNumberFormat="1" applyFont="1" applyFill="1" applyBorder="1"/>
    <xf numFmtId="3" fontId="75" fillId="0" borderId="18" xfId="0" applyNumberFormat="1" applyFont="1" applyFill="1" applyBorder="1"/>
    <xf numFmtId="3" fontId="75" fillId="2" borderId="18" xfId="0" applyNumberFormat="1" applyFont="1" applyFill="1" applyBorder="1"/>
    <xf numFmtId="3" fontId="75" fillId="0" borderId="13" xfId="0" applyNumberFormat="1" applyFont="1" applyFill="1" applyBorder="1"/>
    <xf numFmtId="3" fontId="75" fillId="2" borderId="13" xfId="0" applyNumberFormat="1" applyFont="1" applyFill="1" applyBorder="1"/>
    <xf numFmtId="3" fontId="76" fillId="0" borderId="21" xfId="0" applyNumberFormat="1" applyFont="1" applyFill="1" applyBorder="1"/>
    <xf numFmtId="3" fontId="76" fillId="2" borderId="21" xfId="0" applyNumberFormat="1" applyFont="1" applyFill="1" applyBorder="1"/>
    <xf numFmtId="3" fontId="29" fillId="0" borderId="21" xfId="0" applyNumberFormat="1" applyFont="1" applyFill="1" applyBorder="1"/>
    <xf numFmtId="3" fontId="75" fillId="0" borderId="21" xfId="0" applyNumberFormat="1" applyFont="1" applyFill="1" applyBorder="1"/>
    <xf numFmtId="3" fontId="75" fillId="2" borderId="21" xfId="0" applyNumberFormat="1" applyFont="1" applyFill="1" applyBorder="1"/>
    <xf numFmtId="3" fontId="77" fillId="0" borderId="13" xfId="0" applyNumberFormat="1" applyFont="1" applyFill="1" applyBorder="1"/>
    <xf numFmtId="3" fontId="29" fillId="2" borderId="4" xfId="0" applyNumberFormat="1" applyFont="1" applyFill="1" applyBorder="1"/>
    <xf numFmtId="3" fontId="29" fillId="2" borderId="31" xfId="0" applyNumberFormat="1" applyFont="1" applyFill="1" applyBorder="1" applyAlignment="1">
      <alignment wrapText="1"/>
    </xf>
    <xf numFmtId="3" fontId="28" fillId="2" borderId="31" xfId="0" applyNumberFormat="1" applyFont="1" applyFill="1" applyBorder="1" applyAlignment="1">
      <alignment wrapText="1"/>
    </xf>
    <xf numFmtId="3" fontId="77" fillId="2" borderId="19" xfId="0" applyNumberFormat="1" applyFont="1" applyFill="1" applyBorder="1"/>
    <xf numFmtId="3" fontId="78" fillId="2" borderId="13" xfId="0" applyNumberFormat="1" applyFont="1" applyFill="1" applyBorder="1"/>
    <xf numFmtId="3" fontId="76" fillId="2" borderId="13" xfId="0" applyNumberFormat="1" applyFont="1" applyFill="1" applyBorder="1"/>
    <xf numFmtId="3" fontId="78" fillId="2" borderId="32" xfId="0" applyNumberFormat="1" applyFont="1" applyFill="1" applyBorder="1"/>
    <xf numFmtId="3" fontId="78" fillId="2" borderId="13" xfId="0" applyNumberFormat="1" applyFont="1" applyFill="1" applyBorder="1" applyAlignment="1">
      <alignment horizontal="right"/>
    </xf>
    <xf numFmtId="3" fontId="76" fillId="2" borderId="13" xfId="0" applyNumberFormat="1" applyFont="1" applyFill="1" applyBorder="1" applyAlignment="1">
      <alignment horizontal="right"/>
    </xf>
    <xf numFmtId="3" fontId="76" fillId="2" borderId="32" xfId="0" applyNumberFormat="1" applyFont="1" applyFill="1" applyBorder="1"/>
    <xf numFmtId="3" fontId="75" fillId="2" borderId="8" xfId="0" applyNumberFormat="1" applyFont="1" applyFill="1" applyBorder="1" applyAlignment="1">
      <alignment wrapText="1"/>
    </xf>
    <xf numFmtId="3" fontId="78" fillId="2" borderId="49" xfId="0" applyNumberFormat="1" applyFont="1" applyFill="1" applyBorder="1"/>
    <xf numFmtId="3" fontId="78" fillId="2" borderId="15" xfId="0" applyNumberFormat="1" applyFont="1" applyFill="1" applyBorder="1"/>
    <xf numFmtId="3" fontId="76" fillId="2" borderId="15" xfId="0" applyNumberFormat="1" applyFont="1" applyFill="1" applyBorder="1"/>
    <xf numFmtId="3" fontId="76" fillId="2" borderId="16" xfId="0" applyNumberFormat="1" applyFont="1" applyFill="1" applyBorder="1"/>
    <xf numFmtId="166" fontId="14" fillId="0" borderId="44" xfId="1" applyNumberFormat="1" applyFont="1" applyBorder="1"/>
    <xf numFmtId="166" fontId="14" fillId="0" borderId="44" xfId="1" applyNumberFormat="1" applyFont="1" applyFill="1" applyBorder="1"/>
    <xf numFmtId="166" fontId="16" fillId="0" borderId="4" xfId="1" applyNumberFormat="1" applyFont="1" applyBorder="1" applyAlignment="1">
      <alignment horizontal="right"/>
    </xf>
    <xf numFmtId="166" fontId="16" fillId="0" borderId="9" xfId="1" applyNumberFormat="1" applyFont="1" applyBorder="1"/>
    <xf numFmtId="166" fontId="15" fillId="0" borderId="13" xfId="1" applyNumberFormat="1" applyFont="1" applyBorder="1"/>
    <xf numFmtId="166" fontId="15" fillId="0" borderId="39" xfId="1" applyNumberFormat="1" applyFont="1" applyBorder="1"/>
    <xf numFmtId="166" fontId="15" fillId="0" borderId="21" xfId="1" applyNumberFormat="1" applyFont="1" applyBorder="1"/>
    <xf numFmtId="166" fontId="15" fillId="0" borderId="42" xfId="1" applyNumberFormat="1" applyFont="1" applyBorder="1"/>
    <xf numFmtId="166" fontId="15" fillId="0" borderId="32" xfId="1" applyNumberFormat="1" applyFont="1" applyBorder="1"/>
    <xf numFmtId="166" fontId="15" fillId="0" borderId="40" xfId="1" applyNumberFormat="1" applyFont="1" applyBorder="1"/>
    <xf numFmtId="3" fontId="75" fillId="2" borderId="46" xfId="0" applyNumberFormat="1" applyFont="1" applyFill="1" applyBorder="1"/>
    <xf numFmtId="3" fontId="75" fillId="2" borderId="29" xfId="0" applyNumberFormat="1" applyFont="1" applyFill="1" applyBorder="1"/>
    <xf numFmtId="3" fontId="76" fillId="2" borderId="50" xfId="0" applyNumberFormat="1" applyFont="1" applyFill="1" applyBorder="1"/>
    <xf numFmtId="166" fontId="16" fillId="0" borderId="29" xfId="1" applyNumberFormat="1" applyFont="1" applyFill="1" applyBorder="1" applyAlignment="1" applyProtection="1">
      <alignment vertical="center" wrapText="1"/>
    </xf>
    <xf numFmtId="166" fontId="16" fillId="0" borderId="51" xfId="1" applyNumberFormat="1" applyFont="1" applyFill="1" applyBorder="1" applyAlignment="1" applyProtection="1">
      <alignment vertical="center" wrapText="1"/>
    </xf>
    <xf numFmtId="0" fontId="14" fillId="0" borderId="14" xfId="4" applyFont="1" applyFill="1" applyBorder="1" applyAlignment="1" applyProtection="1">
      <alignment horizontal="left" vertical="center" wrapText="1" indent="1"/>
    </xf>
    <xf numFmtId="166" fontId="14" fillId="2" borderId="27" xfId="1" applyNumberFormat="1" applyFont="1" applyFill="1" applyBorder="1" applyAlignment="1" applyProtection="1">
      <alignment vertical="center" wrapText="1"/>
    </xf>
    <xf numFmtId="0" fontId="14" fillId="0" borderId="27" xfId="4" applyFont="1" applyFill="1" applyBorder="1" applyAlignment="1" applyProtection="1">
      <alignment horizontal="left" vertical="center" wrapText="1" indent="1"/>
    </xf>
    <xf numFmtId="166" fontId="14" fillId="0" borderId="8" xfId="1" applyNumberFormat="1" applyFont="1" applyFill="1" applyBorder="1" applyAlignment="1" applyProtection="1">
      <alignment vertical="center" wrapText="1"/>
    </xf>
    <xf numFmtId="0" fontId="36" fillId="0" borderId="19" xfId="4" applyFont="1" applyFill="1" applyBorder="1" applyAlignment="1" applyProtection="1">
      <alignment horizontal="left" vertical="center" wrapText="1" indent="1"/>
    </xf>
    <xf numFmtId="0" fontId="36" fillId="0" borderId="13" xfId="4" applyFont="1" applyFill="1" applyBorder="1" applyAlignment="1" applyProtection="1">
      <alignment horizontal="left" vertical="center" wrapText="1" indent="1"/>
    </xf>
    <xf numFmtId="0" fontId="16" fillId="0" borderId="22" xfId="4" applyFont="1" applyFill="1" applyBorder="1" applyAlignment="1" applyProtection="1">
      <alignment horizontal="left" vertical="center" wrapText="1" indent="1"/>
    </xf>
    <xf numFmtId="166" fontId="16" fillId="0" borderId="30" xfId="1" applyNumberFormat="1" applyFont="1" applyFill="1" applyBorder="1" applyAlignment="1" applyProtection="1">
      <alignment vertical="center" wrapText="1"/>
    </xf>
    <xf numFmtId="0" fontId="16" fillId="0" borderId="23" xfId="4" applyFont="1" applyFill="1" applyBorder="1" applyAlignment="1" applyProtection="1">
      <alignment horizontal="left" vertical="center" wrapText="1" indent="1"/>
    </xf>
    <xf numFmtId="0" fontId="16" fillId="0" borderId="52" xfId="4" applyFont="1" applyFill="1" applyBorder="1" applyAlignment="1" applyProtection="1">
      <alignment horizontal="left" vertical="center" wrapText="1" indent="1"/>
    </xf>
    <xf numFmtId="166" fontId="16" fillId="0" borderId="53" xfId="1" applyNumberFormat="1" applyFont="1" applyFill="1" applyBorder="1" applyAlignment="1" applyProtection="1">
      <alignment vertical="center" wrapText="1"/>
    </xf>
    <xf numFmtId="166" fontId="5" fillId="0" borderId="8" xfId="1" applyNumberFormat="1" applyFont="1" applyBorder="1" applyAlignment="1"/>
    <xf numFmtId="0" fontId="16" fillId="0" borderId="15" xfId="4" applyFont="1" applyFill="1" applyBorder="1" applyAlignment="1" applyProtection="1">
      <alignment horizontal="left" vertical="center" wrapText="1"/>
    </xf>
    <xf numFmtId="0" fontId="16" fillId="0" borderId="14" xfId="4" applyFont="1" applyFill="1" applyBorder="1" applyAlignment="1" applyProtection="1">
      <alignment horizontal="left" vertical="center" wrapText="1"/>
    </xf>
    <xf numFmtId="0" fontId="16" fillId="0" borderId="14" xfId="4" applyFont="1" applyFill="1" applyBorder="1" applyAlignment="1" applyProtection="1">
      <alignment horizontal="left"/>
    </xf>
    <xf numFmtId="0" fontId="16" fillId="0" borderId="54" xfId="4" applyFont="1" applyFill="1" applyBorder="1" applyAlignment="1" applyProtection="1">
      <alignment horizontal="left" vertical="center" wrapText="1"/>
    </xf>
    <xf numFmtId="0" fontId="14" fillId="0" borderId="23" xfId="4" applyFont="1" applyFill="1" applyBorder="1" applyAlignment="1" applyProtection="1">
      <alignment horizontal="left" indent="1"/>
    </xf>
    <xf numFmtId="0" fontId="14" fillId="0" borderId="48" xfId="4" applyFont="1" applyFill="1" applyBorder="1" applyAlignment="1" applyProtection="1">
      <alignment horizontal="left" indent="1"/>
    </xf>
    <xf numFmtId="164" fontId="14" fillId="0" borderId="34" xfId="4" applyNumberFormat="1" applyFont="1" applyFill="1" applyBorder="1" applyAlignment="1" applyProtection="1">
      <alignment horizontal="center" vertical="center" wrapText="1"/>
      <protection locked="0"/>
    </xf>
    <xf numFmtId="164" fontId="14" fillId="0" borderId="42" xfId="4" applyNumberFormat="1" applyFont="1" applyFill="1" applyBorder="1" applyAlignment="1" applyProtection="1">
      <alignment horizontal="center" vertical="center" wrapText="1"/>
      <protection locked="0"/>
    </xf>
    <xf numFmtId="164" fontId="16" fillId="0" borderId="16" xfId="4" applyNumberFormat="1" applyFont="1" applyFill="1" applyBorder="1" applyAlignment="1" applyProtection="1">
      <alignment horizontal="center" vertical="center" wrapText="1"/>
      <protection locked="0"/>
    </xf>
    <xf numFmtId="164" fontId="14" fillId="0" borderId="39" xfId="4" applyNumberFormat="1" applyFont="1" applyFill="1" applyBorder="1" applyAlignment="1" applyProtection="1">
      <alignment horizontal="center" vertical="center" wrapText="1"/>
      <protection locked="0"/>
    </xf>
    <xf numFmtId="164" fontId="14" fillId="0" borderId="40" xfId="4" applyNumberFormat="1" applyFont="1" applyFill="1" applyBorder="1" applyAlignment="1" applyProtection="1">
      <alignment horizontal="center" vertical="center" wrapText="1"/>
      <protection locked="0"/>
    </xf>
    <xf numFmtId="164" fontId="16" fillId="0" borderId="43" xfId="4" applyNumberFormat="1" applyFont="1" applyFill="1" applyBorder="1" applyAlignment="1" applyProtection="1">
      <alignment horizontal="center" vertical="center" wrapText="1"/>
      <protection locked="0"/>
    </xf>
    <xf numFmtId="164" fontId="16" fillId="0" borderId="16" xfId="4" applyNumberFormat="1" applyFont="1" applyFill="1" applyBorder="1" applyAlignment="1" applyProtection="1">
      <alignment horizontal="center" vertical="center" wrapText="1"/>
    </xf>
    <xf numFmtId="164" fontId="30" fillId="0" borderId="0" xfId="4" applyNumberFormat="1" applyFont="1" applyFill="1" applyBorder="1" applyAlignment="1" applyProtection="1">
      <alignment vertical="center"/>
    </xf>
    <xf numFmtId="166" fontId="30" fillId="0" borderId="0" xfId="1" applyNumberFormat="1" applyFont="1" applyFill="1" applyBorder="1" applyAlignment="1" applyProtection="1">
      <alignment vertical="center"/>
    </xf>
    <xf numFmtId="166" fontId="14" fillId="0" borderId="14" xfId="1" applyNumberFormat="1" applyFont="1" applyFill="1" applyBorder="1" applyAlignment="1" applyProtection="1">
      <alignment vertical="center" wrapText="1"/>
    </xf>
    <xf numFmtId="0" fontId="14" fillId="0" borderId="0" xfId="4" applyFont="1" applyFill="1" applyBorder="1" applyAlignment="1" applyProtection="1">
      <alignment vertical="center"/>
    </xf>
    <xf numFmtId="164" fontId="16" fillId="0" borderId="7" xfId="4" applyNumberFormat="1" applyFont="1" applyFill="1" applyBorder="1" applyAlignment="1" applyProtection="1">
      <alignment vertical="center"/>
    </xf>
    <xf numFmtId="166" fontId="17" fillId="0" borderId="7" xfId="1" applyNumberFormat="1" applyFont="1" applyFill="1" applyBorder="1" applyAlignment="1" applyProtection="1"/>
    <xf numFmtId="166" fontId="14" fillId="0" borderId="50" xfId="1" applyNumberFormat="1" applyFont="1" applyFill="1" applyBorder="1" applyAlignment="1" applyProtection="1">
      <alignment vertical="center" wrapText="1"/>
    </xf>
    <xf numFmtId="166" fontId="16" fillId="0" borderId="15" xfId="1" applyNumberFormat="1" applyFont="1" applyFill="1" applyBorder="1" applyAlignment="1" applyProtection="1">
      <alignment vertical="center" wrapText="1"/>
    </xf>
    <xf numFmtId="166" fontId="16" fillId="0" borderId="27" xfId="1" applyNumberFormat="1" applyFont="1" applyFill="1" applyBorder="1" applyAlignment="1" applyProtection="1"/>
    <xf numFmtId="166" fontId="14" fillId="0" borderId="13" xfId="1" applyNumberFormat="1" applyFont="1" applyFill="1" applyBorder="1" applyAlignment="1" applyProtection="1"/>
    <xf numFmtId="166" fontId="14" fillId="0" borderId="46" xfId="1" applyNumberFormat="1" applyFont="1" applyFill="1" applyBorder="1" applyAlignment="1" applyProtection="1">
      <alignment vertical="center" wrapText="1"/>
    </xf>
    <xf numFmtId="0" fontId="0" fillId="0" borderId="0" xfId="0" applyAlignment="1"/>
    <xf numFmtId="166" fontId="2" fillId="0" borderId="0" xfId="1" applyNumberFormat="1" applyFont="1" applyAlignment="1"/>
    <xf numFmtId="3" fontId="76" fillId="2" borderId="55" xfId="0" applyNumberFormat="1" applyFont="1" applyFill="1" applyBorder="1"/>
    <xf numFmtId="3" fontId="76" fillId="2" borderId="51" xfId="0" applyNumberFormat="1" applyFont="1" applyFill="1" applyBorder="1"/>
    <xf numFmtId="3" fontId="77" fillId="2" borderId="56" xfId="0" applyNumberFormat="1" applyFont="1" applyFill="1" applyBorder="1"/>
    <xf numFmtId="3" fontId="77" fillId="2" borderId="55" xfId="0" applyNumberFormat="1" applyFont="1" applyFill="1" applyBorder="1"/>
    <xf numFmtId="0" fontId="38" fillId="0" borderId="0" xfId="0" applyFont="1"/>
    <xf numFmtId="0" fontId="79" fillId="0" borderId="12" xfId="0" applyFont="1" applyBorder="1"/>
    <xf numFmtId="0" fontId="8" fillId="2" borderId="8" xfId="0" applyFont="1" applyFill="1" applyBorder="1"/>
    <xf numFmtId="43" fontId="8" fillId="0" borderId="0" xfId="1" applyFont="1" applyBorder="1" applyAlignment="1">
      <alignment horizontal="center"/>
    </xf>
    <xf numFmtId="0" fontId="15" fillId="0" borderId="13" xfId="0" applyFont="1" applyBorder="1"/>
    <xf numFmtId="166" fontId="6" fillId="0" borderId="59" xfId="1" applyNumberFormat="1" applyFont="1" applyBorder="1"/>
    <xf numFmtId="0" fontId="6" fillId="0" borderId="57" xfId="0" applyFont="1" applyBorder="1"/>
    <xf numFmtId="0" fontId="6" fillId="0" borderId="24" xfId="0" applyFont="1" applyBorder="1" applyAlignment="1">
      <alignment wrapText="1"/>
    </xf>
    <xf numFmtId="0" fontId="6" fillId="0" borderId="24" xfId="0" applyFont="1" applyBorder="1"/>
    <xf numFmtId="0" fontId="6" fillId="0" borderId="44" xfId="0" applyFont="1" applyBorder="1"/>
    <xf numFmtId="0" fontId="59" fillId="0" borderId="0" xfId="4" applyFont="1" applyFill="1" applyBorder="1" applyAlignment="1" applyProtection="1">
      <alignment horizontal="center" vertical="center" wrapText="1"/>
    </xf>
    <xf numFmtId="0" fontId="54" fillId="0" borderId="0" xfId="4" applyFont="1" applyFill="1" applyBorder="1"/>
    <xf numFmtId="166" fontId="68" fillId="0" borderId="8" xfId="1" applyNumberFormat="1" applyFont="1" applyFill="1" applyBorder="1"/>
    <xf numFmtId="166" fontId="14" fillId="0" borderId="46" xfId="1" applyNumberFormat="1" applyFont="1" applyFill="1" applyBorder="1" applyAlignment="1" applyProtection="1">
      <alignment vertical="center" wrapText="1"/>
      <protection locked="0"/>
    </xf>
    <xf numFmtId="166" fontId="14" fillId="0" borderId="29" xfId="1" applyNumberFormat="1" applyFont="1" applyFill="1" applyBorder="1" applyAlignment="1" applyProtection="1">
      <alignment vertical="center" wrapText="1"/>
      <protection locked="0"/>
    </xf>
    <xf numFmtId="166" fontId="36" fillId="0" borderId="29" xfId="1" applyNumberFormat="1" applyFont="1" applyFill="1" applyBorder="1" applyAlignment="1" applyProtection="1">
      <alignment vertical="center" wrapText="1"/>
    </xf>
    <xf numFmtId="166" fontId="36" fillId="0" borderId="57" xfId="1" applyNumberFormat="1" applyFont="1" applyFill="1" applyBorder="1" applyAlignment="1" applyProtection="1">
      <alignment vertical="center" wrapText="1"/>
    </xf>
    <xf numFmtId="166" fontId="14" fillId="0" borderId="38" xfId="1" applyNumberFormat="1" applyFont="1" applyFill="1" applyBorder="1" applyAlignment="1" applyProtection="1">
      <alignment vertical="center" wrapText="1"/>
      <protection locked="0"/>
    </xf>
    <xf numFmtId="166" fontId="36" fillId="0" borderId="24" xfId="1" applyNumberFormat="1" applyFont="1" applyFill="1" applyBorder="1" applyAlignment="1" applyProtection="1">
      <alignment vertical="center" wrapText="1"/>
      <protection locked="0"/>
    </xf>
    <xf numFmtId="166" fontId="14" fillId="0" borderId="8" xfId="1" applyNumberFormat="1" applyFont="1" applyFill="1" applyBorder="1" applyAlignment="1" applyProtection="1">
      <alignment vertical="center" wrapText="1"/>
      <protection locked="0"/>
    </xf>
    <xf numFmtId="0" fontId="14" fillId="0" borderId="18" xfId="4" applyFont="1" applyFill="1" applyBorder="1" applyAlignment="1" applyProtection="1">
      <alignment horizontal="left" vertical="center" wrapText="1" indent="2"/>
    </xf>
    <xf numFmtId="166" fontId="8" fillId="0" borderId="8" xfId="1" applyNumberFormat="1" applyFont="1" applyFill="1" applyBorder="1" applyAlignment="1" applyProtection="1">
      <alignment vertical="center" wrapText="1"/>
    </xf>
    <xf numFmtId="0" fontId="8" fillId="0" borderId="9" xfId="4" applyFont="1" applyFill="1" applyBorder="1" applyAlignment="1" applyProtection="1">
      <alignment horizontal="left" vertical="center" wrapText="1" indent="1"/>
    </xf>
    <xf numFmtId="0" fontId="79" fillId="0" borderId="22" xfId="0" applyFont="1" applyBorder="1" applyAlignment="1">
      <alignment wrapText="1"/>
    </xf>
    <xf numFmtId="3" fontId="71" fillId="0" borderId="13" xfId="0" applyNumberFormat="1" applyFont="1" applyFill="1" applyBorder="1"/>
    <xf numFmtId="166" fontId="0" fillId="0" borderId="13" xfId="1" applyNumberFormat="1" applyFont="1" applyBorder="1"/>
    <xf numFmtId="0" fontId="47" fillId="0" borderId="2" xfId="0" applyFont="1" applyBorder="1" applyAlignment="1">
      <alignment horizontal="left" vertical="center" wrapText="1"/>
    </xf>
    <xf numFmtId="166" fontId="14" fillId="0" borderId="13" xfId="1" applyNumberFormat="1" applyFont="1" applyBorder="1" applyAlignment="1">
      <alignment horizontal="center"/>
    </xf>
    <xf numFmtId="166" fontId="14" fillId="2" borderId="13" xfId="1" applyNumberFormat="1" applyFont="1" applyFill="1" applyBorder="1" applyAlignment="1">
      <alignment horizontal="center"/>
    </xf>
    <xf numFmtId="166" fontId="14" fillId="2" borderId="29" xfId="1" applyNumberFormat="1" applyFont="1" applyFill="1" applyBorder="1" applyAlignment="1">
      <alignment horizontal="center"/>
    </xf>
    <xf numFmtId="166" fontId="14" fillId="0" borderId="21" xfId="1" applyNumberFormat="1" applyFont="1" applyBorder="1" applyAlignment="1">
      <alignment horizontal="center"/>
    </xf>
    <xf numFmtId="166" fontId="14" fillId="2" borderId="21" xfId="1" applyNumberFormat="1" applyFont="1" applyFill="1" applyBorder="1" applyAlignment="1">
      <alignment horizontal="center"/>
    </xf>
    <xf numFmtId="166" fontId="14" fillId="2" borderId="50" xfId="1" applyNumberFormat="1" applyFont="1" applyFill="1" applyBorder="1" applyAlignment="1">
      <alignment horizontal="center"/>
    </xf>
    <xf numFmtId="0" fontId="14" fillId="0" borderId="44" xfId="0" applyFont="1" applyBorder="1"/>
    <xf numFmtId="0" fontId="15" fillId="0" borderId="0" xfId="0" applyFont="1"/>
    <xf numFmtId="0" fontId="15" fillId="2" borderId="0" xfId="0" applyFont="1" applyFill="1"/>
    <xf numFmtId="0" fontId="21" fillId="2" borderId="0" xfId="0" applyFont="1" applyFill="1" applyAlignment="1">
      <alignment horizontal="right"/>
    </xf>
    <xf numFmtId="49" fontId="15" fillId="0" borderId="24" xfId="0" applyNumberFormat="1" applyFont="1" applyBorder="1" applyAlignment="1">
      <alignment horizontal="center"/>
    </xf>
    <xf numFmtId="0" fontId="15" fillId="0" borderId="0" xfId="0" applyFont="1" applyBorder="1"/>
    <xf numFmtId="49" fontId="15" fillId="2" borderId="24" xfId="0" applyNumberFormat="1" applyFont="1" applyFill="1" applyBorder="1" applyAlignment="1">
      <alignment horizontal="center"/>
    </xf>
    <xf numFmtId="49" fontId="15" fillId="0" borderId="0" xfId="5" applyNumberFormat="1" applyFont="1" applyFill="1" applyAlignment="1">
      <alignment horizontal="center" vertical="center" wrapText="1"/>
    </xf>
    <xf numFmtId="164" fontId="15" fillId="0" borderId="0" xfId="5" applyNumberFormat="1" applyFont="1" applyFill="1" applyAlignment="1">
      <alignment vertical="center" wrapText="1"/>
    </xf>
    <xf numFmtId="164" fontId="15" fillId="0" borderId="0" xfId="5" applyNumberFormat="1" applyFont="1" applyFill="1" applyAlignment="1">
      <alignment horizontal="center" vertical="center" wrapText="1"/>
    </xf>
    <xf numFmtId="0" fontId="15" fillId="0" borderId="0" xfId="5" applyFont="1"/>
    <xf numFmtId="0" fontId="62" fillId="0" borderId="0" xfId="5" applyFont="1"/>
    <xf numFmtId="0" fontId="15" fillId="2" borderId="0" xfId="5" applyFont="1" applyFill="1"/>
    <xf numFmtId="0" fontId="18" fillId="0" borderId="13" xfId="4" applyFont="1" applyFill="1" applyBorder="1" applyAlignment="1" applyProtection="1">
      <alignment horizontal="left" vertical="center" wrapText="1" indent="1"/>
    </xf>
    <xf numFmtId="166" fontId="18" fillId="0" borderId="29" xfId="1" applyNumberFormat="1" applyFont="1" applyFill="1" applyBorder="1" applyAlignment="1" applyProtection="1">
      <alignment vertical="center" wrapText="1"/>
      <protection locked="0"/>
    </xf>
    <xf numFmtId="166" fontId="18" fillId="0" borderId="24" xfId="1" applyNumberFormat="1" applyFont="1" applyFill="1" applyBorder="1" applyAlignment="1" applyProtection="1">
      <alignment vertical="center" wrapText="1"/>
      <protection locked="0"/>
    </xf>
    <xf numFmtId="166" fontId="15" fillId="0" borderId="36" xfId="1" applyNumberFormat="1" applyFont="1" applyFill="1" applyBorder="1"/>
    <xf numFmtId="166" fontId="15" fillId="0" borderId="37" xfId="1" applyNumberFormat="1" applyFont="1" applyFill="1" applyBorder="1"/>
    <xf numFmtId="0" fontId="8" fillId="0" borderId="19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15" fillId="0" borderId="23" xfId="0" applyFont="1" applyBorder="1"/>
    <xf numFmtId="166" fontId="8" fillId="0" borderId="13" xfId="0" applyNumberFormat="1" applyFont="1" applyBorder="1"/>
    <xf numFmtId="0" fontId="15" fillId="0" borderId="23" xfId="0" applyFont="1" applyBorder="1" applyAlignment="1">
      <alignment wrapText="1"/>
    </xf>
    <xf numFmtId="0" fontId="47" fillId="0" borderId="48" xfId="0" applyFont="1" applyBorder="1"/>
    <xf numFmtId="166" fontId="47" fillId="0" borderId="32" xfId="0" applyNumberFormat="1" applyFont="1" applyBorder="1"/>
    <xf numFmtId="0" fontId="47" fillId="0" borderId="0" xfId="0" applyFont="1"/>
    <xf numFmtId="3" fontId="15" fillId="2" borderId="13" xfId="0" applyNumberFormat="1" applyFont="1" applyFill="1" applyBorder="1"/>
    <xf numFmtId="166" fontId="15" fillId="0" borderId="13" xfId="1" applyNumberFormat="1" applyFont="1" applyBorder="1" applyAlignment="1">
      <alignment horizontal="center"/>
    </xf>
    <xf numFmtId="166" fontId="15" fillId="0" borderId="7" xfId="1" applyNumberFormat="1" applyFont="1" applyBorder="1"/>
    <xf numFmtId="0" fontId="14" fillId="0" borderId="8" xfId="0" applyFont="1" applyBorder="1"/>
    <xf numFmtId="166" fontId="15" fillId="0" borderId="8" xfId="1" applyNumberFormat="1" applyFont="1" applyBorder="1"/>
    <xf numFmtId="0" fontId="6" fillId="0" borderId="63" xfId="0" applyFont="1" applyBorder="1"/>
    <xf numFmtId="166" fontId="6" fillId="0" borderId="18" xfId="1" applyNumberFormat="1" applyFont="1" applyBorder="1"/>
    <xf numFmtId="166" fontId="7" fillId="0" borderId="55" xfId="1" applyNumberFormat="1" applyFont="1" applyBorder="1"/>
    <xf numFmtId="3" fontId="6" fillId="0" borderId="48" xfId="0" applyNumberFormat="1" applyFont="1" applyBorder="1"/>
    <xf numFmtId="0" fontId="7" fillId="0" borderId="54" xfId="0" applyFont="1" applyBorder="1"/>
    <xf numFmtId="166" fontId="7" fillId="0" borderId="5" xfId="1" applyNumberFormat="1" applyFont="1" applyBorder="1"/>
    <xf numFmtId="166" fontId="15" fillId="2" borderId="24" xfId="2" applyNumberFormat="1" applyFont="1" applyFill="1" applyBorder="1"/>
    <xf numFmtId="166" fontId="8" fillId="2" borderId="8" xfId="2" applyNumberFormat="1" applyFont="1" applyFill="1" applyBorder="1" applyAlignment="1">
      <alignment horizontal="right"/>
    </xf>
    <xf numFmtId="166" fontId="8" fillId="2" borderId="6" xfId="2" applyNumberFormat="1" applyFont="1" applyFill="1" applyBorder="1"/>
    <xf numFmtId="166" fontId="15" fillId="0" borderId="24" xfId="2" applyNumberFormat="1" applyFont="1" applyFill="1" applyBorder="1"/>
    <xf numFmtId="166" fontId="6" fillId="0" borderId="34" xfId="1" applyNumberFormat="1" applyFont="1" applyFill="1" applyBorder="1"/>
    <xf numFmtId="166" fontId="6" fillId="0" borderId="39" xfId="1" applyNumberFormat="1" applyFont="1" applyFill="1" applyBorder="1"/>
    <xf numFmtId="166" fontId="89" fillId="0" borderId="41" xfId="1" applyNumberFormat="1" applyFont="1" applyFill="1" applyBorder="1" applyAlignment="1">
      <alignment horizontal="center" vertical="center"/>
    </xf>
    <xf numFmtId="166" fontId="89" fillId="0" borderId="8" xfId="1" applyNumberFormat="1" applyFont="1" applyFill="1" applyBorder="1" applyAlignment="1">
      <alignment horizontal="center" vertical="center"/>
    </xf>
    <xf numFmtId="166" fontId="26" fillId="0" borderId="41" xfId="1" applyNumberFormat="1" applyFont="1" applyFill="1" applyBorder="1" applyAlignment="1">
      <alignment horizontal="center" vertical="center"/>
    </xf>
    <xf numFmtId="166" fontId="26" fillId="0" borderId="8" xfId="1" applyNumberFormat="1" applyFont="1" applyFill="1" applyBorder="1" applyAlignment="1">
      <alignment horizontal="center" vertical="center"/>
    </xf>
    <xf numFmtId="166" fontId="87" fillId="0" borderId="6" xfId="1" applyNumberFormat="1" applyFont="1" applyFill="1" applyBorder="1"/>
    <xf numFmtId="3" fontId="37" fillId="0" borderId="0" xfId="0" applyNumberFormat="1" applyFont="1"/>
    <xf numFmtId="3" fontId="75" fillId="0" borderId="11" xfId="0" applyNumberFormat="1" applyFont="1" applyFill="1" applyBorder="1" applyAlignment="1">
      <alignment wrapText="1"/>
    </xf>
    <xf numFmtId="3" fontId="76" fillId="0" borderId="12" xfId="0" applyNumberFormat="1" applyFont="1" applyFill="1" applyBorder="1" applyAlignment="1">
      <alignment wrapText="1"/>
    </xf>
    <xf numFmtId="3" fontId="76" fillId="0" borderId="13" xfId="0" applyNumberFormat="1" applyFont="1" applyFill="1" applyBorder="1"/>
    <xf numFmtId="3" fontId="29" fillId="0" borderId="18" xfId="0" applyNumberFormat="1" applyFont="1" applyFill="1" applyBorder="1"/>
    <xf numFmtId="3" fontId="29" fillId="0" borderId="16" xfId="0" applyNumberFormat="1" applyFont="1" applyFill="1" applyBorder="1"/>
    <xf numFmtId="3" fontId="28" fillId="0" borderId="9" xfId="0" applyNumberFormat="1" applyFont="1" applyFill="1" applyBorder="1" applyAlignment="1">
      <alignment wrapText="1"/>
    </xf>
    <xf numFmtId="3" fontId="75" fillId="0" borderId="50" xfId="0" applyNumberFormat="1" applyFont="1" applyFill="1" applyBorder="1" applyAlignment="1">
      <alignment wrapText="1"/>
    </xf>
    <xf numFmtId="3" fontId="77" fillId="2" borderId="13" xfId="0" applyNumberFormat="1" applyFont="1" applyFill="1" applyBorder="1"/>
    <xf numFmtId="3" fontId="29" fillId="0" borderId="19" xfId="0" applyNumberFormat="1" applyFont="1" applyFill="1" applyBorder="1"/>
    <xf numFmtId="3" fontId="29" fillId="0" borderId="34" xfId="0" applyNumberFormat="1" applyFont="1" applyFill="1" applyBorder="1"/>
    <xf numFmtId="3" fontId="29" fillId="0" borderId="39" xfId="0" applyNumberFormat="1" applyFont="1" applyFill="1" applyBorder="1"/>
    <xf numFmtId="3" fontId="29" fillId="2" borderId="15" xfId="0" applyNumberFormat="1" applyFont="1" applyFill="1" applyBorder="1"/>
    <xf numFmtId="3" fontId="29" fillId="2" borderId="27" xfId="0" applyNumberFormat="1" applyFont="1" applyFill="1" applyBorder="1"/>
    <xf numFmtId="3" fontId="29" fillId="2" borderId="33" xfId="0" applyNumberFormat="1" applyFont="1" applyFill="1" applyBorder="1"/>
    <xf numFmtId="3" fontId="29" fillId="2" borderId="67" xfId="0" applyNumberFormat="1" applyFont="1" applyFill="1" applyBorder="1"/>
    <xf numFmtId="3" fontId="71" fillId="2" borderId="6" xfId="0" applyNumberFormat="1" applyFont="1" applyFill="1" applyBorder="1"/>
    <xf numFmtId="3" fontId="75" fillId="2" borderId="3" xfId="0" applyNumberFormat="1" applyFont="1" applyFill="1" applyBorder="1" applyAlignment="1">
      <alignment wrapText="1"/>
    </xf>
    <xf numFmtId="3" fontId="77" fillId="2" borderId="22" xfId="0" applyNumberFormat="1" applyFont="1" applyFill="1" applyBorder="1"/>
    <xf numFmtId="3" fontId="77" fillId="2" borderId="34" xfId="0" applyNumberFormat="1" applyFont="1" applyFill="1" applyBorder="1"/>
    <xf numFmtId="3" fontId="78" fillId="2" borderId="23" xfId="0" applyNumberFormat="1" applyFont="1" applyFill="1" applyBorder="1"/>
    <xf numFmtId="3" fontId="78" fillId="2" borderId="39" xfId="0" applyNumberFormat="1" applyFont="1" applyFill="1" applyBorder="1"/>
    <xf numFmtId="3" fontId="76" fillId="2" borderId="39" xfId="0" applyNumberFormat="1" applyFont="1" applyFill="1" applyBorder="1"/>
    <xf numFmtId="3" fontId="76" fillId="2" borderId="39" xfId="0" applyNumberFormat="1" applyFont="1" applyFill="1" applyBorder="1" applyAlignment="1">
      <alignment horizontal="right"/>
    </xf>
    <xf numFmtId="3" fontId="76" fillId="2" borderId="40" xfId="0" applyNumberFormat="1" applyFont="1" applyFill="1" applyBorder="1"/>
    <xf numFmtId="3" fontId="78" fillId="2" borderId="36" xfId="0" applyNumberFormat="1" applyFont="1" applyFill="1" applyBorder="1"/>
    <xf numFmtId="3" fontId="76" fillId="2" borderId="26" xfId="0" applyNumberFormat="1" applyFont="1" applyFill="1" applyBorder="1" applyAlignment="1">
      <alignment wrapText="1"/>
    </xf>
    <xf numFmtId="3" fontId="75" fillId="2" borderId="31" xfId="0" applyNumberFormat="1" applyFont="1" applyFill="1" applyBorder="1" applyAlignment="1">
      <alignment wrapText="1"/>
    </xf>
    <xf numFmtId="0" fontId="79" fillId="0" borderId="35" xfId="0" applyFont="1" applyBorder="1" applyAlignment="1">
      <alignment wrapText="1"/>
    </xf>
    <xf numFmtId="166" fontId="15" fillId="2" borderId="21" xfId="1" applyNumberFormat="1" applyFont="1" applyFill="1" applyBorder="1"/>
    <xf numFmtId="0" fontId="16" fillId="2" borderId="8" xfId="0" applyFont="1" applyFill="1" applyBorder="1"/>
    <xf numFmtId="166" fontId="15" fillId="2" borderId="18" xfId="1" applyNumberFormat="1" applyFont="1" applyFill="1" applyBorder="1"/>
    <xf numFmtId="166" fontId="5" fillId="2" borderId="9" xfId="0" applyNumberFormat="1" applyFont="1" applyFill="1" applyBorder="1"/>
    <xf numFmtId="166" fontId="15" fillId="2" borderId="46" xfId="1" applyNumberFormat="1" applyFont="1" applyFill="1" applyBorder="1"/>
    <xf numFmtId="166" fontId="15" fillId="2" borderId="50" xfId="1" applyNumberFormat="1" applyFont="1" applyFill="1" applyBorder="1"/>
    <xf numFmtId="0" fontId="14" fillId="0" borderId="18" xfId="0" applyFont="1" applyBorder="1"/>
    <xf numFmtId="0" fontId="14" fillId="0" borderId="21" xfId="0" applyFont="1" applyBorder="1"/>
    <xf numFmtId="166" fontId="5" fillId="0" borderId="21" xfId="1" applyNumberFormat="1" applyFont="1" applyBorder="1" applyAlignment="1">
      <alignment horizontal="center"/>
    </xf>
    <xf numFmtId="166" fontId="0" fillId="0" borderId="21" xfId="1" applyNumberFormat="1" applyFont="1" applyBorder="1"/>
    <xf numFmtId="0" fontId="17" fillId="0" borderId="14" xfId="0" applyFont="1" applyBorder="1"/>
    <xf numFmtId="166" fontId="47" fillId="2" borderId="15" xfId="1" applyNumberFormat="1" applyFont="1" applyFill="1" applyBorder="1"/>
    <xf numFmtId="166" fontId="0" fillId="0" borderId="29" xfId="1" applyNumberFormat="1" applyFont="1" applyBorder="1"/>
    <xf numFmtId="166" fontId="0" fillId="0" borderId="50" xfId="1" applyNumberFormat="1" applyFont="1" applyBorder="1"/>
    <xf numFmtId="166" fontId="5" fillId="0" borderId="24" xfId="0" applyNumberFormat="1" applyFont="1" applyBorder="1"/>
    <xf numFmtId="166" fontId="5" fillId="0" borderId="25" xfId="0" applyNumberFormat="1" applyFont="1" applyBorder="1"/>
    <xf numFmtId="0" fontId="0" fillId="0" borderId="8" xfId="0" applyBorder="1"/>
    <xf numFmtId="166" fontId="14" fillId="0" borderId="18" xfId="1" applyNumberFormat="1" applyFont="1" applyFill="1" applyBorder="1"/>
    <xf numFmtId="166" fontId="24" fillId="0" borderId="18" xfId="1" applyNumberFormat="1" applyFont="1" applyBorder="1"/>
    <xf numFmtId="166" fontId="12" fillId="0" borderId="18" xfId="1" applyNumberFormat="1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46" xfId="0" applyBorder="1"/>
    <xf numFmtId="166" fontId="0" fillId="0" borderId="38" xfId="0" applyNumberFormat="1" applyBorder="1"/>
    <xf numFmtId="0" fontId="16" fillId="0" borderId="61" xfId="0" applyFont="1" applyBorder="1" applyAlignment="1">
      <alignment horizontal="center" vertical="center" wrapText="1"/>
    </xf>
    <xf numFmtId="0" fontId="52" fillId="0" borderId="63" xfId="0" applyFont="1" applyBorder="1" applyAlignment="1">
      <alignment wrapText="1"/>
    </xf>
    <xf numFmtId="0" fontId="86" fillId="0" borderId="26" xfId="4" applyFont="1" applyFill="1" applyBorder="1" applyAlignment="1" applyProtection="1">
      <alignment horizontal="center" vertical="center" wrapText="1"/>
    </xf>
    <xf numFmtId="3" fontId="76" fillId="0" borderId="57" xfId="0" applyNumberFormat="1" applyFont="1" applyFill="1" applyBorder="1" applyAlignment="1">
      <alignment wrapText="1"/>
    </xf>
    <xf numFmtId="3" fontId="76" fillId="0" borderId="24" xfId="0" applyNumberFormat="1" applyFont="1" applyFill="1" applyBorder="1" applyAlignment="1">
      <alignment wrapText="1"/>
    </xf>
    <xf numFmtId="3" fontId="75" fillId="0" borderId="24" xfId="0" applyNumberFormat="1" applyFont="1" applyFill="1" applyBorder="1" applyAlignment="1">
      <alignment wrapText="1"/>
    </xf>
    <xf numFmtId="0" fontId="67" fillId="0" borderId="44" xfId="0" applyFont="1" applyBorder="1" applyAlignment="1">
      <alignment wrapText="1"/>
    </xf>
    <xf numFmtId="166" fontId="0" fillId="0" borderId="0" xfId="1" applyNumberFormat="1" applyFont="1"/>
    <xf numFmtId="0" fontId="19" fillId="0" borderId="0" xfId="0" applyFont="1" applyAlignment="1">
      <alignment horizontal="right"/>
    </xf>
    <xf numFmtId="0" fontId="32" fillId="0" borderId="28" xfId="4" applyFont="1" applyFill="1" applyBorder="1" applyAlignment="1" applyProtection="1">
      <alignment horizontal="center" vertical="center"/>
    </xf>
    <xf numFmtId="0" fontId="60" fillId="0" borderId="2" xfId="4" applyFont="1" applyFill="1" applyBorder="1" applyAlignment="1">
      <alignment horizontal="center"/>
    </xf>
    <xf numFmtId="0" fontId="60" fillId="0" borderId="4" xfId="4" applyFont="1" applyFill="1" applyBorder="1" applyAlignment="1">
      <alignment horizontal="center"/>
    </xf>
    <xf numFmtId="0" fontId="60" fillId="0" borderId="69" xfId="4" applyFont="1" applyFill="1" applyBorder="1" applyAlignment="1">
      <alignment horizontal="center"/>
    </xf>
    <xf numFmtId="0" fontId="32" fillId="0" borderId="30" xfId="4" applyFont="1" applyFill="1" applyBorder="1" applyProtection="1"/>
    <xf numFmtId="0" fontId="32" fillId="0" borderId="29" xfId="4" applyFont="1" applyFill="1" applyBorder="1" applyProtection="1"/>
    <xf numFmtId="0" fontId="32" fillId="0" borderId="29" xfId="4" applyFont="1" applyFill="1" applyBorder="1" applyAlignment="1" applyProtection="1">
      <alignment wrapText="1"/>
    </xf>
    <xf numFmtId="0" fontId="32" fillId="0" borderId="50" xfId="4" applyFont="1" applyFill="1" applyBorder="1" applyProtection="1"/>
    <xf numFmtId="166" fontId="32" fillId="0" borderId="22" xfId="1" applyNumberFormat="1" applyFont="1" applyFill="1" applyBorder="1" applyProtection="1">
      <protection locked="0"/>
    </xf>
    <xf numFmtId="166" fontId="32" fillId="0" borderId="23" xfId="1" applyNumberFormat="1" applyFont="1" applyFill="1" applyBorder="1" applyProtection="1">
      <protection locked="0"/>
    </xf>
    <xf numFmtId="166" fontId="32" fillId="0" borderId="48" xfId="1" applyNumberFormat="1" applyFont="1" applyFill="1" applyBorder="1" applyProtection="1">
      <protection locked="0"/>
    </xf>
    <xf numFmtId="166" fontId="8" fillId="0" borderId="33" xfId="1" applyNumberFormat="1" applyFont="1" applyBorder="1"/>
    <xf numFmtId="0" fontId="15" fillId="0" borderId="41" xfId="4" applyFont="1" applyFill="1" applyBorder="1" applyAlignment="1" applyProtection="1">
      <alignment horizontal="left" vertical="center" wrapText="1" indent="1"/>
    </xf>
    <xf numFmtId="3" fontId="78" fillId="0" borderId="23" xfId="0" applyNumberFormat="1" applyFont="1" applyFill="1" applyBorder="1"/>
    <xf numFmtId="3" fontId="78" fillId="0" borderId="48" xfId="0" applyNumberFormat="1" applyFont="1" applyFill="1" applyBorder="1"/>
    <xf numFmtId="3" fontId="78" fillId="0" borderId="13" xfId="0" applyNumberFormat="1" applyFont="1" applyFill="1" applyBorder="1" applyAlignment="1">
      <alignment horizontal="right"/>
    </xf>
    <xf numFmtId="3" fontId="78" fillId="0" borderId="32" xfId="0" applyNumberFormat="1" applyFont="1" applyFill="1" applyBorder="1"/>
    <xf numFmtId="0" fontId="15" fillId="3" borderId="0" xfId="5" applyFont="1" applyFill="1"/>
    <xf numFmtId="3" fontId="71" fillId="0" borderId="21" xfId="0" applyNumberFormat="1" applyFont="1" applyFill="1" applyBorder="1"/>
    <xf numFmtId="3" fontId="29" fillId="2" borderId="22" xfId="0" applyNumberFormat="1" applyFont="1" applyFill="1" applyBorder="1"/>
    <xf numFmtId="0" fontId="8" fillId="0" borderId="3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166" fontId="8" fillId="2" borderId="8" xfId="0" applyNumberFormat="1" applyFont="1" applyFill="1" applyBorder="1"/>
    <xf numFmtId="166" fontId="16" fillId="0" borderId="41" xfId="1" applyNumberFormat="1" applyFont="1" applyBorder="1" applyAlignment="1">
      <alignment horizontal="right"/>
    </xf>
    <xf numFmtId="166" fontId="16" fillId="0" borderId="8" xfId="1" applyNumberFormat="1" applyFont="1" applyBorder="1" applyAlignment="1">
      <alignment horizontal="right"/>
    </xf>
    <xf numFmtId="0" fontId="17" fillId="0" borderId="22" xfId="4" applyFont="1" applyFill="1" applyBorder="1" applyAlignment="1" applyProtection="1">
      <alignment horizontal="left"/>
    </xf>
    <xf numFmtId="166" fontId="17" fillId="0" borderId="19" xfId="1" applyNumberFormat="1" applyFont="1" applyFill="1" applyBorder="1" applyAlignment="1" applyProtection="1"/>
    <xf numFmtId="0" fontId="5" fillId="0" borderId="0" xfId="0" applyFont="1" applyFill="1"/>
    <xf numFmtId="166" fontId="2" fillId="0" borderId="0" xfId="1" applyNumberFormat="1" applyFont="1" applyFill="1"/>
    <xf numFmtId="0" fontId="0" fillId="0" borderId="0" xfId="0" applyFont="1" applyFill="1"/>
    <xf numFmtId="166" fontId="0" fillId="0" borderId="0" xfId="1" applyNumberFormat="1" applyFont="1" applyFill="1"/>
    <xf numFmtId="0" fontId="86" fillId="0" borderId="4" xfId="4" applyFont="1" applyFill="1" applyBorder="1" applyAlignment="1" applyProtection="1">
      <alignment horizontal="center" vertical="center" wrapText="1"/>
    </xf>
    <xf numFmtId="0" fontId="86" fillId="0" borderId="66" xfId="4" applyFont="1" applyFill="1" applyBorder="1" applyAlignment="1" applyProtection="1">
      <alignment horizontal="center" vertical="center" wrapText="1"/>
    </xf>
    <xf numFmtId="166" fontId="88" fillId="0" borderId="67" xfId="4" applyNumberFormat="1" applyFont="1" applyFill="1" applyBorder="1"/>
    <xf numFmtId="166" fontId="6" fillId="2" borderId="0" xfId="0" applyNumberFormat="1" applyFont="1" applyFill="1"/>
    <xf numFmtId="166" fontId="90" fillId="0" borderId="0" xfId="1" applyNumberFormat="1" applyFont="1" applyFill="1" applyBorder="1"/>
    <xf numFmtId="166" fontId="90" fillId="0" borderId="0" xfId="1" applyNumberFormat="1" applyFont="1"/>
    <xf numFmtId="166" fontId="90" fillId="0" borderId="0" xfId="0" applyNumberFormat="1" applyFont="1"/>
    <xf numFmtId="3" fontId="48" fillId="0" borderId="0" xfId="0" applyNumberFormat="1" applyFont="1"/>
    <xf numFmtId="164" fontId="20" fillId="2" borderId="15" xfId="5" applyNumberFormat="1" applyFont="1" applyFill="1" applyBorder="1" applyAlignment="1" applyProtection="1">
      <alignment horizontal="center" vertical="center" wrapText="1"/>
    </xf>
    <xf numFmtId="165" fontId="21" fillId="3" borderId="13" xfId="5" applyNumberFormat="1" applyFont="1" applyFill="1" applyBorder="1" applyAlignment="1" applyProtection="1">
      <alignment horizontal="center" vertical="center" wrapText="1"/>
      <protection locked="0"/>
    </xf>
    <xf numFmtId="164" fontId="21" fillId="3" borderId="13" xfId="5" applyNumberFormat="1" applyFont="1" applyFill="1" applyBorder="1" applyAlignment="1" applyProtection="1">
      <alignment horizontal="center" vertical="center" wrapText="1"/>
      <protection locked="0"/>
    </xf>
    <xf numFmtId="165" fontId="21" fillId="3" borderId="21" xfId="5" applyNumberFormat="1" applyFont="1" applyFill="1" applyBorder="1" applyAlignment="1" applyProtection="1">
      <alignment horizontal="center" vertical="center" wrapText="1"/>
      <protection locked="0"/>
    </xf>
    <xf numFmtId="164" fontId="21" fillId="3" borderId="21" xfId="5" applyNumberFormat="1" applyFont="1" applyFill="1" applyBorder="1" applyAlignment="1" applyProtection="1">
      <alignment horizontal="center" vertical="center" wrapText="1"/>
      <protection locked="0"/>
    </xf>
    <xf numFmtId="164" fontId="20" fillId="3" borderId="15" xfId="5" applyNumberFormat="1" applyFont="1" applyFill="1" applyBorder="1" applyAlignment="1" applyProtection="1">
      <alignment horizontal="center" vertical="center" wrapText="1"/>
    </xf>
    <xf numFmtId="0" fontId="16" fillId="0" borderId="26" xfId="4" applyFont="1" applyFill="1" applyBorder="1" applyAlignment="1" applyProtection="1">
      <alignment horizontal="left" vertical="center" wrapText="1" indent="1"/>
    </xf>
    <xf numFmtId="0" fontId="51" fillId="0" borderId="17" xfId="4" applyFont="1" applyFill="1" applyBorder="1" applyAlignment="1" applyProtection="1">
      <alignment horizontal="left" vertical="center" wrapText="1" indent="1"/>
    </xf>
    <xf numFmtId="166" fontId="36" fillId="0" borderId="79" xfId="1" applyNumberFormat="1" applyFont="1" applyFill="1" applyBorder="1" applyAlignment="1" applyProtection="1">
      <alignment vertical="center" wrapText="1"/>
    </xf>
    <xf numFmtId="0" fontId="16" fillId="0" borderId="51" xfId="4" applyFont="1" applyFill="1" applyBorder="1" applyAlignment="1" applyProtection="1">
      <alignment horizontal="left" vertical="center" wrapText="1" indent="1"/>
    </xf>
    <xf numFmtId="166" fontId="16" fillId="2" borderId="6" xfId="1" applyNumberFormat="1" applyFont="1" applyFill="1" applyBorder="1" applyAlignment="1" applyProtection="1">
      <alignment vertical="center" wrapText="1"/>
    </xf>
    <xf numFmtId="166" fontId="16" fillId="0" borderId="43" xfId="1" applyNumberFormat="1" applyFont="1" applyFill="1" applyBorder="1" applyAlignment="1" applyProtection="1">
      <alignment vertical="center" wrapText="1"/>
    </xf>
    <xf numFmtId="166" fontId="14" fillId="0" borderId="13" xfId="1" applyNumberFormat="1" applyFont="1" applyFill="1" applyBorder="1" applyAlignment="1" applyProtection="1">
      <alignment vertical="center" wrapText="1"/>
    </xf>
    <xf numFmtId="0" fontId="36" fillId="0" borderId="22" xfId="4" applyFont="1" applyFill="1" applyBorder="1" applyAlignment="1" applyProtection="1">
      <alignment horizontal="left" vertical="center" wrapText="1" indent="2"/>
    </xf>
    <xf numFmtId="166" fontId="36" fillId="0" borderId="19" xfId="1" applyNumberFormat="1" applyFont="1" applyFill="1" applyBorder="1" applyAlignment="1" applyProtection="1">
      <alignment vertical="center" wrapText="1"/>
    </xf>
    <xf numFmtId="166" fontId="14" fillId="0" borderId="39" xfId="1" applyNumberFormat="1" applyFont="1" applyFill="1" applyBorder="1" applyAlignment="1" applyProtection="1">
      <alignment vertical="center" wrapText="1"/>
      <protection locked="0"/>
    </xf>
    <xf numFmtId="166" fontId="14" fillId="0" borderId="39" xfId="1" applyNumberFormat="1" applyFont="1" applyFill="1" applyBorder="1" applyAlignment="1" applyProtection="1">
      <alignment vertical="center" wrapText="1"/>
    </xf>
    <xf numFmtId="0" fontId="14" fillId="0" borderId="48" xfId="4" applyFont="1" applyFill="1" applyBorder="1" applyAlignment="1" applyProtection="1">
      <alignment horizontal="left" vertical="center" wrapText="1" indent="2"/>
    </xf>
    <xf numFmtId="166" fontId="14" fillId="0" borderId="32" xfId="1" applyNumberFormat="1" applyFont="1" applyFill="1" applyBorder="1" applyAlignment="1" applyProtection="1">
      <alignment vertical="center" wrapText="1"/>
    </xf>
    <xf numFmtId="166" fontId="14" fillId="0" borderId="40" xfId="1" applyNumberFormat="1" applyFont="1" applyFill="1" applyBorder="1" applyAlignment="1" applyProtection="1">
      <alignment vertical="center" wrapText="1"/>
      <protection locked="0"/>
    </xf>
    <xf numFmtId="0" fontId="21" fillId="3" borderId="0" xfId="5" applyFont="1" applyFill="1"/>
    <xf numFmtId="166" fontId="8" fillId="2" borderId="78" xfId="1" applyNumberFormat="1" applyFont="1" applyFill="1" applyBorder="1" applyAlignment="1">
      <alignment horizontal="center" vertical="center"/>
    </xf>
    <xf numFmtId="166" fontId="8" fillId="0" borderId="78" xfId="1" applyNumberFormat="1" applyFont="1" applyFill="1" applyBorder="1" applyAlignment="1">
      <alignment horizontal="center" vertical="center"/>
    </xf>
    <xf numFmtId="166" fontId="8" fillId="2" borderId="6" xfId="0" applyNumberFormat="1" applyFont="1" applyFill="1" applyBorder="1"/>
    <xf numFmtId="166" fontId="15" fillId="0" borderId="13" xfId="1" applyNumberFormat="1" applyFont="1" applyFill="1" applyBorder="1"/>
    <xf numFmtId="3" fontId="15" fillId="2" borderId="22" xfId="0" applyNumberFormat="1" applyFont="1" applyFill="1" applyBorder="1" applyAlignment="1">
      <alignment horizontal="center" vertical="center"/>
    </xf>
    <xf numFmtId="3" fontId="15" fillId="2" borderId="19" xfId="0" applyNumberFormat="1" applyFont="1" applyFill="1" applyBorder="1" applyAlignment="1">
      <alignment horizontal="center" vertical="center"/>
    </xf>
    <xf numFmtId="166" fontId="15" fillId="2" borderId="19" xfId="1" applyNumberFormat="1" applyFont="1" applyFill="1" applyBorder="1" applyAlignment="1">
      <alignment horizontal="center" vertical="center"/>
    </xf>
    <xf numFmtId="166" fontId="15" fillId="2" borderId="34" xfId="1" applyNumberFormat="1" applyFont="1" applyFill="1" applyBorder="1" applyAlignment="1">
      <alignment horizontal="center" vertical="center"/>
    </xf>
    <xf numFmtId="166" fontId="15" fillId="0" borderId="23" xfId="1" applyNumberFormat="1" applyFont="1" applyBorder="1"/>
    <xf numFmtId="166" fontId="15" fillId="0" borderId="39" xfId="1" applyNumberFormat="1" applyFont="1" applyBorder="1" applyAlignment="1">
      <alignment horizontal="center"/>
    </xf>
    <xf numFmtId="166" fontId="15" fillId="2" borderId="23" xfId="1" applyNumberFormat="1" applyFont="1" applyFill="1" applyBorder="1"/>
    <xf numFmtId="166" fontId="15" fillId="2" borderId="39" xfId="1" applyNumberFormat="1" applyFont="1" applyFill="1" applyBorder="1" applyAlignment="1">
      <alignment horizontal="center"/>
    </xf>
    <xf numFmtId="166" fontId="15" fillId="0" borderId="23" xfId="1" applyNumberFormat="1" applyFont="1" applyFill="1" applyBorder="1"/>
    <xf numFmtId="166" fontId="15" fillId="0" borderId="39" xfId="1" applyNumberFormat="1" applyFont="1" applyFill="1" applyBorder="1" applyAlignment="1">
      <alignment horizontal="center"/>
    </xf>
    <xf numFmtId="166" fontId="8" fillId="0" borderId="33" xfId="1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166" fontId="16" fillId="0" borderId="0" xfId="1" applyNumberFormat="1" applyFont="1" applyBorder="1" applyAlignment="1"/>
    <xf numFmtId="166" fontId="5" fillId="0" borderId="0" xfId="1" applyNumberFormat="1" applyFont="1"/>
    <xf numFmtId="166" fontId="15" fillId="0" borderId="36" xfId="1" applyNumberFormat="1" applyFont="1" applyFill="1" applyBorder="1" applyAlignment="1"/>
    <xf numFmtId="49" fontId="15" fillId="0" borderId="18" xfId="0" applyNumberFormat="1" applyFont="1" applyBorder="1" applyAlignment="1">
      <alignment horizontal="center"/>
    </xf>
    <xf numFmtId="0" fontId="15" fillId="0" borderId="18" xfId="0" applyFont="1" applyBorder="1"/>
    <xf numFmtId="0" fontId="15" fillId="2" borderId="1" xfId="0" applyFont="1" applyFill="1" applyBorder="1" applyAlignment="1"/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31" fillId="0" borderId="26" xfId="4" applyFont="1" applyFill="1" applyBorder="1" applyAlignment="1" applyProtection="1">
      <alignment horizontal="center" vertical="center" wrapText="1"/>
    </xf>
    <xf numFmtId="0" fontId="33" fillId="0" borderId="13" xfId="4" applyFont="1" applyFill="1" applyBorder="1" applyAlignment="1">
      <alignment horizontal="center" vertical="center"/>
    </xf>
    <xf numFmtId="166" fontId="33" fillId="0" borderId="13" xfId="6" applyNumberFormat="1" applyFont="1" applyFill="1" applyBorder="1" applyAlignment="1" applyProtection="1">
      <alignment horizontal="center" vertical="center"/>
      <protection locked="0"/>
    </xf>
    <xf numFmtId="166" fontId="33" fillId="0" borderId="19" xfId="6" applyNumberFormat="1" applyFont="1" applyFill="1" applyBorder="1" applyAlignment="1" applyProtection="1">
      <alignment horizontal="center" vertical="center"/>
      <protection locked="0"/>
    </xf>
    <xf numFmtId="166" fontId="6" fillId="0" borderId="0" xfId="0" applyNumberFormat="1" applyFont="1"/>
    <xf numFmtId="0" fontId="62" fillId="0" borderId="8" xfId="4" applyFont="1" applyFill="1" applyBorder="1" applyAlignment="1" applyProtection="1">
      <alignment horizontal="center" vertical="center"/>
    </xf>
    <xf numFmtId="164" fontId="0" fillId="0" borderId="0" xfId="0" applyNumberFormat="1"/>
    <xf numFmtId="164" fontId="20" fillId="2" borderId="16" xfId="5" applyNumberFormat="1" applyFont="1" applyFill="1" applyBorder="1" applyAlignment="1" applyProtection="1">
      <alignment horizontal="center" vertical="center" wrapText="1"/>
    </xf>
    <xf numFmtId="0" fontId="74" fillId="0" borderId="13" xfId="0" applyFont="1" applyFill="1" applyBorder="1" applyAlignment="1">
      <alignment wrapText="1"/>
    </xf>
    <xf numFmtId="166" fontId="15" fillId="0" borderId="33" xfId="1" applyNumberFormat="1" applyFont="1" applyFill="1" applyBorder="1"/>
    <xf numFmtId="0" fontId="74" fillId="0" borderId="11" xfId="0" applyFont="1" applyFill="1" applyBorder="1"/>
    <xf numFmtId="0" fontId="74" fillId="0" borderId="12" xfId="0" applyFont="1" applyFill="1" applyBorder="1"/>
    <xf numFmtId="0" fontId="79" fillId="0" borderId="11" xfId="0" applyFont="1" applyFill="1" applyBorder="1"/>
    <xf numFmtId="0" fontId="8" fillId="0" borderId="8" xfId="0" applyFont="1" applyFill="1" applyBorder="1"/>
    <xf numFmtId="166" fontId="8" fillId="0" borderId="8" xfId="0" applyNumberFormat="1" applyFont="1" applyFill="1" applyBorder="1"/>
    <xf numFmtId="166" fontId="0" fillId="0" borderId="0" xfId="0" applyNumberFormat="1" applyAlignment="1"/>
    <xf numFmtId="3" fontId="91" fillId="0" borderId="8" xfId="0" applyNumberFormat="1" applyFont="1" applyFill="1" applyBorder="1"/>
    <xf numFmtId="0" fontId="14" fillId="0" borderId="3" xfId="0" applyFont="1" applyBorder="1" applyAlignment="1">
      <alignment wrapText="1"/>
    </xf>
    <xf numFmtId="166" fontId="14" fillId="0" borderId="3" xfId="1" applyNumberFormat="1" applyFont="1" applyBorder="1"/>
    <xf numFmtId="3" fontId="77" fillId="2" borderId="29" xfId="0" applyNumberFormat="1" applyFont="1" applyFill="1" applyBorder="1"/>
    <xf numFmtId="3" fontId="76" fillId="2" borderId="8" xfId="0" applyNumberFormat="1" applyFont="1" applyFill="1" applyBorder="1" applyAlignment="1">
      <alignment wrapText="1"/>
    </xf>
    <xf numFmtId="3" fontId="77" fillId="2" borderId="49" xfId="0" applyNumberFormat="1" applyFont="1" applyFill="1" applyBorder="1"/>
    <xf numFmtId="3" fontId="75" fillId="0" borderId="22" xfId="0" applyNumberFormat="1" applyFont="1" applyFill="1" applyBorder="1" applyAlignment="1">
      <alignment wrapText="1"/>
    </xf>
    <xf numFmtId="3" fontId="75" fillId="0" borderId="19" xfId="0" applyNumberFormat="1" applyFont="1" applyFill="1" applyBorder="1"/>
    <xf numFmtId="3" fontId="75" fillId="2" borderId="19" xfId="0" applyNumberFormat="1" applyFont="1" applyFill="1" applyBorder="1"/>
    <xf numFmtId="3" fontId="75" fillId="2" borderId="30" xfId="0" applyNumberFormat="1" applyFont="1" applyFill="1" applyBorder="1"/>
    <xf numFmtId="3" fontId="75" fillId="0" borderId="23" xfId="0" applyNumberFormat="1" applyFont="1" applyFill="1" applyBorder="1" applyAlignment="1">
      <alignment wrapText="1"/>
    </xf>
    <xf numFmtId="3" fontId="29" fillId="0" borderId="45" xfId="0" applyNumberFormat="1" applyFont="1" applyFill="1" applyBorder="1"/>
    <xf numFmtId="3" fontId="29" fillId="2" borderId="55" xfId="0" applyNumberFormat="1" applyFont="1" applyFill="1" applyBorder="1"/>
    <xf numFmtId="3" fontId="29" fillId="2" borderId="51" xfId="0" applyNumberFormat="1" applyFont="1" applyFill="1" applyBorder="1"/>
    <xf numFmtId="3" fontId="29" fillId="0" borderId="32" xfId="0" applyNumberFormat="1" applyFont="1" applyFill="1" applyBorder="1"/>
    <xf numFmtId="3" fontId="29" fillId="0" borderId="40" xfId="0" applyNumberFormat="1" applyFont="1" applyFill="1" applyBorder="1"/>
    <xf numFmtId="3" fontId="29" fillId="0" borderId="49" xfId="0" applyNumberFormat="1" applyFont="1" applyFill="1" applyBorder="1"/>
    <xf numFmtId="3" fontId="29" fillId="0" borderId="54" xfId="0" applyNumberFormat="1" applyFont="1" applyFill="1" applyBorder="1"/>
    <xf numFmtId="3" fontId="29" fillId="0" borderId="55" xfId="0" applyNumberFormat="1" applyFont="1" applyFill="1" applyBorder="1"/>
    <xf numFmtId="3" fontId="29" fillId="0" borderId="43" xfId="0" applyNumberFormat="1" applyFont="1" applyFill="1" applyBorder="1"/>
    <xf numFmtId="3" fontId="76" fillId="0" borderId="3" xfId="0" applyNumberFormat="1" applyFont="1" applyFill="1" applyBorder="1" applyAlignment="1">
      <alignment wrapText="1"/>
    </xf>
    <xf numFmtId="3" fontId="76" fillId="0" borderId="32" xfId="0" applyNumberFormat="1" applyFont="1" applyFill="1" applyBorder="1"/>
    <xf numFmtId="3" fontId="76" fillId="2" borderId="47" xfId="0" applyNumberFormat="1" applyFont="1" applyFill="1" applyBorder="1"/>
    <xf numFmtId="3" fontId="76" fillId="0" borderId="18" xfId="0" applyNumberFormat="1" applyFont="1" applyFill="1" applyBorder="1"/>
    <xf numFmtId="3" fontId="65" fillId="2" borderId="18" xfId="0" applyNumberFormat="1" applyFont="1" applyFill="1" applyBorder="1"/>
    <xf numFmtId="3" fontId="65" fillId="0" borderId="15" xfId="0" applyNumberFormat="1" applyFont="1" applyFill="1" applyBorder="1"/>
    <xf numFmtId="3" fontId="76" fillId="0" borderId="62" xfId="0" applyNumberFormat="1" applyFont="1" applyFill="1" applyBorder="1"/>
    <xf numFmtId="3" fontId="76" fillId="0" borderId="64" xfId="0" applyNumberFormat="1" applyFont="1" applyFill="1" applyBorder="1"/>
    <xf numFmtId="3" fontId="76" fillId="2" borderId="64" xfId="0" applyNumberFormat="1" applyFont="1" applyFill="1" applyBorder="1"/>
    <xf numFmtId="3" fontId="77" fillId="2" borderId="64" xfId="0" applyNumberFormat="1" applyFont="1" applyFill="1" applyBorder="1"/>
    <xf numFmtId="3" fontId="29" fillId="0" borderId="64" xfId="0" applyNumberFormat="1" applyFont="1" applyFill="1" applyBorder="1"/>
    <xf numFmtId="3" fontId="29" fillId="0" borderId="65" xfId="0" applyNumberFormat="1" applyFont="1" applyFill="1" applyBorder="1"/>
    <xf numFmtId="3" fontId="65" fillId="0" borderId="22" xfId="0" applyNumberFormat="1" applyFont="1" applyFill="1" applyBorder="1"/>
    <xf numFmtId="3" fontId="65" fillId="0" borderId="19" xfId="0" applyNumberFormat="1" applyFont="1" applyFill="1" applyBorder="1"/>
    <xf numFmtId="3" fontId="76" fillId="0" borderId="63" xfId="0" applyNumberFormat="1" applyFont="1" applyFill="1" applyBorder="1"/>
    <xf numFmtId="3" fontId="77" fillId="0" borderId="23" xfId="0" applyNumberFormat="1" applyFont="1" applyFill="1" applyBorder="1"/>
    <xf numFmtId="0" fontId="16" fillId="0" borderId="55" xfId="4" applyFont="1" applyFill="1" applyBorder="1" applyAlignment="1" applyProtection="1">
      <alignment vertical="center" wrapText="1"/>
    </xf>
    <xf numFmtId="0" fontId="14" fillId="0" borderId="13" xfId="4" applyFont="1" applyFill="1" applyBorder="1" applyAlignment="1" applyProtection="1">
      <alignment vertical="center" wrapText="1"/>
    </xf>
    <xf numFmtId="166" fontId="6" fillId="3" borderId="19" xfId="1" applyNumberFormat="1" applyFont="1" applyFill="1" applyBorder="1" applyAlignment="1"/>
    <xf numFmtId="166" fontId="6" fillId="3" borderId="13" xfId="1" applyNumberFormat="1" applyFont="1" applyFill="1" applyBorder="1" applyAlignment="1"/>
    <xf numFmtId="166" fontId="6" fillId="3" borderId="32" xfId="1" applyNumberFormat="1" applyFont="1" applyFill="1" applyBorder="1" applyAlignment="1"/>
    <xf numFmtId="167" fontId="14" fillId="0" borderId="0" xfId="1" applyNumberFormat="1" applyFont="1"/>
    <xf numFmtId="168" fontId="14" fillId="0" borderId="0" xfId="0" applyNumberFormat="1" applyFont="1"/>
    <xf numFmtId="3" fontId="78" fillId="0" borderId="13" xfId="0" applyNumberFormat="1" applyFont="1" applyFill="1" applyBorder="1"/>
    <xf numFmtId="3" fontId="15" fillId="0" borderId="13" xfId="0" applyNumberFormat="1" applyFont="1" applyBorder="1" applyAlignment="1">
      <alignment horizontal="center"/>
    </xf>
    <xf numFmtId="3" fontId="15" fillId="0" borderId="13" xfId="0" applyNumberFormat="1" applyFont="1" applyBorder="1" applyAlignment="1">
      <alignment horizontal="right"/>
    </xf>
    <xf numFmtId="4" fontId="84" fillId="0" borderId="19" xfId="0" applyNumberFormat="1" applyFont="1" applyBorder="1" applyAlignment="1">
      <alignment horizontal="center"/>
    </xf>
    <xf numFmtId="3" fontId="84" fillId="0" borderId="19" xfId="0" applyNumberFormat="1" applyFont="1" applyBorder="1" applyAlignment="1">
      <alignment horizontal="right"/>
    </xf>
    <xf numFmtId="3" fontId="85" fillId="2" borderId="34" xfId="0" applyNumberFormat="1" applyFont="1" applyFill="1" applyBorder="1" applyAlignment="1">
      <alignment horizontal="right"/>
    </xf>
    <xf numFmtId="3" fontId="14" fillId="2" borderId="39" xfId="0" applyNumberFormat="1" applyFont="1" applyFill="1" applyBorder="1" applyAlignment="1">
      <alignment horizontal="right"/>
    </xf>
    <xf numFmtId="3" fontId="15" fillId="2" borderId="39" xfId="0" applyNumberFormat="1" applyFont="1" applyFill="1" applyBorder="1" applyAlignment="1">
      <alignment horizontal="right"/>
    </xf>
    <xf numFmtId="3" fontId="15" fillId="0" borderId="13" xfId="0" applyNumberFormat="1" applyFont="1" applyBorder="1"/>
    <xf numFmtId="3" fontId="15" fillId="2" borderId="39" xfId="0" applyNumberFormat="1" applyFont="1" applyFill="1" applyBorder="1"/>
    <xf numFmtId="3" fontId="17" fillId="2" borderId="40" xfId="0" applyNumberFormat="1" applyFont="1" applyFill="1" applyBorder="1"/>
    <xf numFmtId="3" fontId="15" fillId="0" borderId="18" xfId="0" applyNumberFormat="1" applyFont="1" applyBorder="1" applyAlignment="1">
      <alignment horizontal="center"/>
    </xf>
    <xf numFmtId="3" fontId="15" fillId="0" borderId="18" xfId="0" applyNumberFormat="1" applyFont="1" applyBorder="1" applyAlignment="1">
      <alignment horizontal="right"/>
    </xf>
    <xf numFmtId="3" fontId="15" fillId="2" borderId="45" xfId="0" applyNumberFormat="1" applyFont="1" applyFill="1" applyBorder="1" applyAlignment="1">
      <alignment horizontal="right"/>
    </xf>
    <xf numFmtId="3" fontId="17" fillId="2" borderId="42" xfId="0" applyNumberFormat="1" applyFont="1" applyFill="1" applyBorder="1"/>
    <xf numFmtId="3" fontId="14" fillId="0" borderId="19" xfId="0" applyNumberFormat="1" applyFont="1" applyBorder="1" applyAlignment="1">
      <alignment horizontal="center"/>
    </xf>
    <xf numFmtId="3" fontId="14" fillId="0" borderId="19" xfId="0" applyNumberFormat="1" applyFont="1" applyBorder="1"/>
    <xf numFmtId="3" fontId="15" fillId="2" borderId="34" xfId="0" applyNumberFormat="1" applyFont="1" applyFill="1" applyBorder="1"/>
    <xf numFmtId="0" fontId="15" fillId="0" borderId="19" xfId="0" applyFont="1" applyBorder="1" applyAlignment="1">
      <alignment horizontal="center"/>
    </xf>
    <xf numFmtId="3" fontId="15" fillId="0" borderId="19" xfId="0" applyNumberFormat="1" applyFont="1" applyBorder="1"/>
    <xf numFmtId="166" fontId="14" fillId="0" borderId="31" xfId="1" applyNumberFormat="1" applyFont="1" applyBorder="1"/>
    <xf numFmtId="166" fontId="14" fillId="0" borderId="6" xfId="1" applyNumberFormat="1" applyFont="1" applyBorder="1"/>
    <xf numFmtId="166" fontId="14" fillId="0" borderId="6" xfId="1" applyNumberFormat="1" applyFont="1" applyFill="1" applyBorder="1"/>
    <xf numFmtId="166" fontId="5" fillId="0" borderId="8" xfId="1" applyNumberFormat="1" applyFont="1" applyBorder="1"/>
    <xf numFmtId="166" fontId="6" fillId="2" borderId="13" xfId="1" applyNumberFormat="1" applyFont="1" applyFill="1" applyBorder="1" applyAlignment="1"/>
    <xf numFmtId="0" fontId="0" fillId="0" borderId="0" xfId="0" applyAlignment="1">
      <alignment horizontal="center"/>
    </xf>
    <xf numFmtId="0" fontId="15" fillId="0" borderId="26" xfId="0" applyFont="1" applyBorder="1" applyAlignment="1">
      <alignment horizontal="center" vertical="center"/>
    </xf>
    <xf numFmtId="166" fontId="16" fillId="0" borderId="0" xfId="1" applyNumberFormat="1" applyFont="1" applyFill="1" applyBorder="1"/>
    <xf numFmtId="3" fontId="29" fillId="0" borderId="14" xfId="0" applyNumberFormat="1" applyFont="1" applyFill="1" applyBorder="1"/>
    <xf numFmtId="0" fontId="8" fillId="0" borderId="4" xfId="0" applyFont="1" applyBorder="1" applyAlignment="1">
      <alignment horizontal="center" vertical="center" wrapText="1"/>
    </xf>
    <xf numFmtId="0" fontId="15" fillId="0" borderId="77" xfId="0" applyFont="1" applyBorder="1"/>
    <xf numFmtId="0" fontId="15" fillId="0" borderId="71" xfId="0" applyFont="1" applyBorder="1"/>
    <xf numFmtId="0" fontId="15" fillId="0" borderId="71" xfId="0" applyFont="1" applyFill="1" applyBorder="1"/>
    <xf numFmtId="166" fontId="15" fillId="2" borderId="57" xfId="1" applyNumberFormat="1" applyFont="1" applyFill="1" applyBorder="1" applyAlignment="1">
      <alignment horizontal="center" vertical="center"/>
    </xf>
    <xf numFmtId="166" fontId="31" fillId="0" borderId="8" xfId="1" applyNumberFormat="1" applyFont="1" applyFill="1" applyBorder="1" applyAlignment="1" applyProtection="1">
      <alignment horizontal="center" vertical="center" wrapText="1"/>
    </xf>
    <xf numFmtId="166" fontId="7" fillId="3" borderId="55" xfId="1" applyNumberFormat="1" applyFont="1" applyFill="1" applyBorder="1"/>
    <xf numFmtId="166" fontId="15" fillId="0" borderId="59" xfId="1" applyNumberFormat="1" applyFont="1" applyFill="1" applyBorder="1"/>
    <xf numFmtId="166" fontId="8" fillId="2" borderId="66" xfId="1" applyNumberFormat="1" applyFont="1" applyFill="1" applyBorder="1" applyAlignment="1">
      <alignment horizontal="center" vertical="center"/>
    </xf>
    <xf numFmtId="166" fontId="15" fillId="0" borderId="35" xfId="1" applyNumberFormat="1" applyFont="1" applyBorder="1"/>
    <xf numFmtId="0" fontId="15" fillId="0" borderId="21" xfId="0" applyFont="1" applyBorder="1"/>
    <xf numFmtId="166" fontId="15" fillId="0" borderId="42" xfId="1" applyNumberFormat="1" applyFont="1" applyBorder="1" applyAlignment="1">
      <alignment horizontal="center"/>
    </xf>
    <xf numFmtId="166" fontId="15" fillId="2" borderId="64" xfId="1" applyNumberFormat="1" applyFont="1" applyFill="1" applyBorder="1"/>
    <xf numFmtId="166" fontId="14" fillId="0" borderId="64" xfId="1" applyNumberFormat="1" applyFont="1" applyFill="1" applyBorder="1"/>
    <xf numFmtId="166" fontId="24" fillId="0" borderId="64" xfId="1" applyNumberFormat="1" applyFont="1" applyBorder="1"/>
    <xf numFmtId="166" fontId="12" fillId="0" borderId="64" xfId="1" applyNumberFormat="1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53" xfId="0" applyBorder="1"/>
    <xf numFmtId="0" fontId="52" fillId="0" borderId="13" xfId="0" applyFont="1" applyBorder="1" applyAlignment="1">
      <alignment wrapText="1"/>
    </xf>
    <xf numFmtId="166" fontId="8" fillId="0" borderId="8" xfId="1" applyNumberFormat="1" applyFont="1" applyFill="1" applyBorder="1"/>
    <xf numFmtId="0" fontId="47" fillId="0" borderId="12" xfId="0" applyFont="1" applyBorder="1"/>
    <xf numFmtId="166" fontId="5" fillId="0" borderId="38" xfId="1" applyNumberFormat="1" applyFont="1" applyBorder="1" applyAlignment="1">
      <alignment horizontal="center"/>
    </xf>
    <xf numFmtId="0" fontId="15" fillId="0" borderId="64" xfId="0" applyFont="1" applyBorder="1" applyAlignment="1">
      <alignment horizontal="center"/>
    </xf>
    <xf numFmtId="3" fontId="15" fillId="0" borderId="64" xfId="0" applyNumberFormat="1" applyFont="1" applyBorder="1"/>
    <xf numFmtId="3" fontId="15" fillId="2" borderId="65" xfId="0" applyNumberFormat="1" applyFont="1" applyFill="1" applyBorder="1"/>
    <xf numFmtId="0" fontId="10" fillId="0" borderId="0" xfId="0" applyFont="1" applyFill="1" applyBorder="1" applyAlignment="1">
      <alignment horizontal="center" wrapText="1"/>
    </xf>
    <xf numFmtId="3" fontId="75" fillId="0" borderId="58" xfId="0" applyNumberFormat="1" applyFont="1" applyFill="1" applyBorder="1"/>
    <xf numFmtId="3" fontId="75" fillId="0" borderId="36" xfId="0" applyNumberFormat="1" applyFont="1" applyFill="1" applyBorder="1"/>
    <xf numFmtId="3" fontId="76" fillId="0" borderId="37" xfId="0" applyNumberFormat="1" applyFont="1" applyFill="1" applyBorder="1"/>
    <xf numFmtId="3" fontId="76" fillId="0" borderId="59" xfId="0" applyNumberFormat="1" applyFont="1" applyFill="1" applyBorder="1"/>
    <xf numFmtId="3" fontId="65" fillId="0" borderId="18" xfId="0" applyNumberFormat="1" applyFont="1" applyFill="1" applyBorder="1"/>
    <xf numFmtId="3" fontId="29" fillId="0" borderId="4" xfId="0" applyNumberFormat="1" applyFont="1" applyFill="1" applyBorder="1"/>
    <xf numFmtId="3" fontId="77" fillId="0" borderId="19" xfId="0" applyNumberFormat="1" applyFont="1" applyFill="1" applyBorder="1"/>
    <xf numFmtId="3" fontId="77" fillId="0" borderId="56" xfId="0" applyNumberFormat="1" applyFont="1" applyFill="1" applyBorder="1"/>
    <xf numFmtId="3" fontId="78" fillId="0" borderId="49" xfId="0" applyNumberFormat="1" applyFont="1" applyFill="1" applyBorder="1"/>
    <xf numFmtId="0" fontId="15" fillId="0" borderId="63" xfId="0" applyFont="1" applyBorder="1" applyAlignment="1">
      <alignment horizontal="center"/>
    </xf>
    <xf numFmtId="166" fontId="15" fillId="2" borderId="39" xfId="1" applyNumberFormat="1" applyFont="1" applyFill="1" applyBorder="1"/>
    <xf numFmtId="166" fontId="16" fillId="0" borderId="27" xfId="1" applyNumberFormat="1" applyFont="1" applyFill="1" applyBorder="1" applyAlignment="1" applyProtection="1">
      <alignment horizontal="center" vertical="center" wrapText="1"/>
    </xf>
    <xf numFmtId="166" fontId="15" fillId="0" borderId="41" xfId="1" applyNumberFormat="1" applyFont="1" applyFill="1" applyBorder="1" applyAlignment="1" applyProtection="1">
      <alignment vertical="center" wrapText="1"/>
    </xf>
    <xf numFmtId="166" fontId="15" fillId="0" borderId="8" xfId="1" applyNumberFormat="1" applyFont="1" applyFill="1" applyBorder="1" applyAlignment="1" applyProtection="1">
      <alignment vertical="center" wrapText="1"/>
    </xf>
    <xf numFmtId="0" fontId="25" fillId="0" borderId="0" xfId="0" applyFont="1" applyAlignment="1">
      <alignment horizontal="center"/>
    </xf>
    <xf numFmtId="3" fontId="21" fillId="3" borderId="13" xfId="5" applyNumberFormat="1" applyFont="1" applyFill="1" applyBorder="1" applyAlignment="1" applyProtection="1">
      <alignment horizontal="center" vertical="center" wrapText="1"/>
      <protection locked="0"/>
    </xf>
    <xf numFmtId="164" fontId="21" fillId="3" borderId="13" xfId="5" applyNumberFormat="1" applyFont="1" applyFill="1" applyBorder="1" applyAlignment="1" applyProtection="1">
      <alignment horizontal="center" vertical="center" wrapText="1"/>
    </xf>
    <xf numFmtId="0" fontId="0" fillId="0" borderId="13" xfId="0" applyBorder="1"/>
    <xf numFmtId="0" fontId="6" fillId="0" borderId="25" xfId="0" applyFont="1" applyBorder="1"/>
    <xf numFmtId="166" fontId="6" fillId="0" borderId="37" xfId="1" applyNumberFormat="1" applyFont="1" applyBorder="1"/>
    <xf numFmtId="166" fontId="6" fillId="0" borderId="21" xfId="1" applyNumberFormat="1" applyFont="1" applyBorder="1"/>
    <xf numFmtId="166" fontId="6" fillId="0" borderId="50" xfId="1" applyNumberFormat="1" applyFont="1" applyBorder="1"/>
    <xf numFmtId="3" fontId="6" fillId="0" borderId="35" xfId="0" applyNumberFormat="1" applyFont="1" applyBorder="1" applyAlignment="1">
      <alignment wrapText="1"/>
    </xf>
    <xf numFmtId="166" fontId="6" fillId="3" borderId="21" xfId="1" applyNumberFormat="1" applyFont="1" applyFill="1" applyBorder="1" applyAlignment="1"/>
    <xf numFmtId="166" fontId="6" fillId="0" borderId="42" xfId="1" applyNumberFormat="1" applyFont="1" applyBorder="1"/>
    <xf numFmtId="164" fontId="94" fillId="0" borderId="0" xfId="0" applyNumberFormat="1" applyFont="1" applyFill="1" applyAlignment="1">
      <alignment horizontal="center" vertical="center" wrapText="1"/>
    </xf>
    <xf numFmtId="164" fontId="95" fillId="0" borderId="0" xfId="0" applyNumberFormat="1" applyFont="1" applyFill="1" applyAlignment="1">
      <alignment horizontal="right" vertical="center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1" fontId="16" fillId="0" borderId="28" xfId="0" applyNumberFormat="1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 applyProtection="1">
      <alignment vertical="center" wrapText="1"/>
      <protection locked="0"/>
    </xf>
    <xf numFmtId="164" fontId="1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14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23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 applyProtection="1">
      <alignment vertical="center" wrapText="1"/>
      <protection locked="0"/>
    </xf>
    <xf numFmtId="164" fontId="14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3" fontId="14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13" xfId="0" applyFont="1" applyFill="1" applyBorder="1" applyAlignment="1" applyProtection="1">
      <alignment vertical="center" wrapText="1"/>
      <protection locked="0"/>
    </xf>
    <xf numFmtId="164" fontId="26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0" fontId="96" fillId="0" borderId="13" xfId="0" applyFont="1" applyFill="1" applyBorder="1" applyAlignment="1" applyProtection="1">
      <alignment vertical="center" wrapText="1"/>
      <protection locked="0"/>
    </xf>
    <xf numFmtId="164" fontId="8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23" xfId="0" applyNumberFormat="1" applyFont="1" applyFill="1" applyBorder="1" applyAlignment="1">
      <alignment horizontal="center" vertical="center" wrapText="1"/>
    </xf>
    <xf numFmtId="0" fontId="36" fillId="0" borderId="23" xfId="0" applyFont="1" applyFill="1" applyBorder="1" applyAlignment="1">
      <alignment horizontal="center" vertical="center" wrapText="1"/>
    </xf>
    <xf numFmtId="0" fontId="36" fillId="0" borderId="13" xfId="0" applyFont="1" applyFill="1" applyBorder="1" applyAlignment="1" applyProtection="1">
      <alignment vertical="center" wrapText="1"/>
      <protection locked="0"/>
    </xf>
    <xf numFmtId="164" fontId="97" fillId="0" borderId="13" xfId="0" applyNumberFormat="1" applyFont="1" applyFill="1" applyBorder="1" applyAlignment="1">
      <alignment horizontal="right" vertical="center" wrapText="1"/>
    </xf>
    <xf numFmtId="16" fontId="14" fillId="0" borderId="23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 applyProtection="1">
      <alignment horizontal="center" vertical="center" wrapText="1"/>
      <protection locked="0"/>
    </xf>
    <xf numFmtId="164" fontId="14" fillId="0" borderId="13" xfId="0" applyNumberFormat="1" applyFont="1" applyFill="1" applyBorder="1" applyAlignment="1">
      <alignment horizontal="right" vertical="center" wrapText="1"/>
    </xf>
    <xf numFmtId="3" fontId="14" fillId="0" borderId="39" xfId="0" applyNumberFormat="1" applyFont="1" applyFill="1" applyBorder="1" applyAlignment="1">
      <alignment horizontal="right" vertical="center" wrapText="1"/>
    </xf>
    <xf numFmtId="164" fontId="14" fillId="0" borderId="13" xfId="0" applyNumberFormat="1" applyFont="1" applyFill="1" applyBorder="1" applyAlignment="1" applyProtection="1">
      <alignment horizontal="right" vertical="center" wrapText="1"/>
      <protection locked="0"/>
    </xf>
    <xf numFmtId="3" fontId="14" fillId="0" borderId="39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35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 applyProtection="1">
      <alignment vertical="center" wrapText="1"/>
      <protection locked="0"/>
    </xf>
    <xf numFmtId="164" fontId="26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 applyProtection="1">
      <alignment vertical="center" wrapText="1"/>
      <protection locked="0"/>
    </xf>
    <xf numFmtId="164" fontId="26" fillId="0" borderId="5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3" xfId="0" applyFont="1" applyFill="1" applyBorder="1" applyAlignment="1">
      <alignment horizontal="center" vertical="center" wrapText="1"/>
    </xf>
    <xf numFmtId="0" fontId="14" fillId="0" borderId="32" xfId="0" applyFont="1" applyFill="1" applyBorder="1" applyAlignment="1" applyProtection="1">
      <alignment vertical="center" wrapText="1"/>
      <protection locked="0"/>
    </xf>
    <xf numFmtId="164" fontId="26" fillId="0" borderId="5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Fill="1" applyAlignment="1">
      <alignment horizontal="right" vertical="center" wrapText="1"/>
    </xf>
    <xf numFmtId="164" fontId="18" fillId="0" borderId="0" xfId="5" applyNumberFormat="1" applyFont="1" applyFill="1" applyAlignment="1">
      <alignment horizontal="right"/>
    </xf>
    <xf numFmtId="167" fontId="0" fillId="0" borderId="0" xfId="0" applyNumberFormat="1"/>
    <xf numFmtId="0" fontId="0" fillId="0" borderId="0" xfId="0" applyAlignment="1">
      <alignment wrapText="1"/>
    </xf>
    <xf numFmtId="166" fontId="31" fillId="0" borderId="8" xfId="1" applyNumberFormat="1" applyFont="1" applyFill="1" applyBorder="1" applyAlignment="1" applyProtection="1">
      <alignment vertical="center" wrapText="1"/>
    </xf>
    <xf numFmtId="166" fontId="88" fillId="0" borderId="67" xfId="4" applyNumberFormat="1" applyFont="1" applyFill="1" applyBorder="1" applyAlignment="1"/>
    <xf numFmtId="166" fontId="6" fillId="0" borderId="39" xfId="1" applyNumberFormat="1" applyFont="1" applyFill="1" applyBorder="1" applyAlignment="1">
      <alignment horizontal="center"/>
    </xf>
    <xf numFmtId="166" fontId="6" fillId="0" borderId="40" xfId="1" applyNumberFormat="1" applyFont="1" applyBorder="1" applyAlignment="1">
      <alignment horizontal="center"/>
    </xf>
    <xf numFmtId="0" fontId="14" fillId="0" borderId="0" xfId="0" applyFont="1" applyBorder="1"/>
    <xf numFmtId="167" fontId="0" fillId="0" borderId="0" xfId="0" applyNumberFormat="1" applyBorder="1"/>
    <xf numFmtId="3" fontId="5" fillId="0" borderId="8" xfId="0" applyNumberFormat="1" applyFont="1" applyBorder="1" applyAlignment="1"/>
    <xf numFmtId="166" fontId="0" fillId="0" borderId="0" xfId="1" applyNumberFormat="1" applyFont="1" applyAlignment="1">
      <alignment horizontal="right"/>
    </xf>
    <xf numFmtId="166" fontId="99" fillId="0" borderId="0" xfId="1" applyNumberFormat="1" applyFont="1"/>
    <xf numFmtId="0" fontId="79" fillId="0" borderId="11" xfId="0" applyFont="1" applyFill="1" applyBorder="1" applyAlignment="1">
      <alignment wrapText="1"/>
    </xf>
    <xf numFmtId="166" fontId="47" fillId="0" borderId="13" xfId="1" applyNumberFormat="1" applyFont="1" applyFill="1" applyBorder="1"/>
    <xf numFmtId="0" fontId="48" fillId="0" borderId="0" xfId="0" applyFont="1" applyFill="1"/>
    <xf numFmtId="0" fontId="79" fillId="0" borderId="12" xfId="0" applyFont="1" applyFill="1" applyBorder="1"/>
    <xf numFmtId="0" fontId="15" fillId="0" borderId="13" xfId="0" applyFont="1" applyFill="1" applyBorder="1"/>
    <xf numFmtId="0" fontId="98" fillId="0" borderId="0" xfId="7" applyFont="1" applyFill="1" applyBorder="1" applyAlignment="1"/>
    <xf numFmtId="166" fontId="100" fillId="0" borderId="0" xfId="2" applyNumberFormat="1" applyFont="1" applyFill="1" applyBorder="1" applyAlignment="1"/>
    <xf numFmtId="0" fontId="15" fillId="2" borderId="0" xfId="0" applyFont="1" applyFill="1" applyBorder="1" applyAlignment="1"/>
    <xf numFmtId="3" fontId="10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66" fontId="21" fillId="0" borderId="13" xfId="1" applyNumberFormat="1" applyFont="1" applyBorder="1"/>
    <xf numFmtId="0" fontId="7" fillId="0" borderId="14" xfId="0" applyFont="1" applyBorder="1" applyAlignment="1">
      <alignment horizontal="center" vertical="center" wrapText="1"/>
    </xf>
    <xf numFmtId="166" fontId="7" fillId="0" borderId="15" xfId="1" applyNumberFormat="1" applyFont="1" applyBorder="1" applyAlignment="1">
      <alignment horizontal="center" vertical="center" wrapText="1"/>
    </xf>
    <xf numFmtId="166" fontId="7" fillId="0" borderId="16" xfId="1" applyNumberFormat="1" applyFont="1" applyBorder="1" applyAlignment="1">
      <alignment horizontal="center" vertical="center" wrapText="1"/>
    </xf>
    <xf numFmtId="0" fontId="81" fillId="0" borderId="0" xfId="0" applyFont="1" applyFill="1" applyBorder="1" applyAlignment="1"/>
    <xf numFmtId="0" fontId="81" fillId="0" borderId="62" xfId="0" applyFont="1" applyFill="1" applyBorder="1" applyAlignment="1"/>
    <xf numFmtId="0" fontId="7" fillId="0" borderId="8" xfId="0" applyFont="1" applyBorder="1" applyAlignment="1">
      <alignment horizontal="center" vertical="center" wrapText="1"/>
    </xf>
    <xf numFmtId="0" fontId="6" fillId="0" borderId="22" xfId="0" applyFont="1" applyBorder="1"/>
    <xf numFmtId="166" fontId="6" fillId="0" borderId="34" xfId="1" applyNumberFormat="1" applyFont="1" applyBorder="1"/>
    <xf numFmtId="166" fontId="6" fillId="0" borderId="45" xfId="1" applyNumberFormat="1" applyFont="1" applyBorder="1"/>
    <xf numFmtId="0" fontId="6" fillId="0" borderId="48" xfId="0" applyFont="1" applyBorder="1" applyAlignment="1">
      <alignment wrapText="1"/>
    </xf>
    <xf numFmtId="166" fontId="6" fillId="0" borderId="40" xfId="1" applyNumberFormat="1" applyFont="1" applyBorder="1"/>
    <xf numFmtId="3" fontId="40" fillId="0" borderId="22" xfId="0" applyNumberFormat="1" applyFont="1" applyBorder="1" applyAlignment="1">
      <alignment wrapText="1"/>
    </xf>
    <xf numFmtId="166" fontId="6" fillId="0" borderId="34" xfId="1" applyNumberFormat="1" applyFont="1" applyFill="1" applyBorder="1" applyAlignment="1">
      <alignment horizontal="center"/>
    </xf>
    <xf numFmtId="3" fontId="6" fillId="0" borderId="39" xfId="0" applyNumberFormat="1" applyFont="1" applyBorder="1" applyAlignment="1">
      <alignment horizontal="center"/>
    </xf>
    <xf numFmtId="3" fontId="7" fillId="0" borderId="14" xfId="0" applyNumberFormat="1" applyFont="1" applyBorder="1"/>
    <xf numFmtId="166" fontId="7" fillId="0" borderId="15" xfId="1" applyNumberFormat="1" applyFont="1" applyBorder="1"/>
    <xf numFmtId="166" fontId="7" fillId="0" borderId="16" xfId="1" applyNumberFormat="1" applyFont="1" applyBorder="1"/>
    <xf numFmtId="166" fontId="81" fillId="0" borderId="53" xfId="0" applyNumberFormat="1" applyFont="1" applyFill="1" applyBorder="1" applyAlignment="1"/>
    <xf numFmtId="3" fontId="7" fillId="0" borderId="9" xfId="0" applyNumberFormat="1" applyFont="1" applyBorder="1"/>
    <xf numFmtId="166" fontId="7" fillId="0" borderId="8" xfId="1" applyNumberFormat="1" applyFont="1" applyBorder="1"/>
    <xf numFmtId="0" fontId="7" fillId="0" borderId="9" xfId="0" applyFont="1" applyBorder="1"/>
    <xf numFmtId="3" fontId="7" fillId="0" borderId="8" xfId="0" applyNumberFormat="1" applyFont="1" applyBorder="1" applyAlignment="1">
      <alignment horizontal="center"/>
    </xf>
    <xf numFmtId="166" fontId="7" fillId="0" borderId="8" xfId="0" applyNumberFormat="1" applyFont="1" applyBorder="1" applyAlignment="1">
      <alignment horizontal="center"/>
    </xf>
    <xf numFmtId="166" fontId="57" fillId="0" borderId="55" xfId="4" applyNumberFormat="1" applyFont="1" applyFill="1" applyBorder="1"/>
    <xf numFmtId="0" fontId="54" fillId="0" borderId="13" xfId="4" applyFont="1" applyFill="1" applyBorder="1"/>
    <xf numFmtId="0" fontId="33" fillId="0" borderId="10" xfId="4" applyFont="1" applyFill="1" applyBorder="1" applyAlignment="1">
      <alignment horizontal="center" vertical="center"/>
    </xf>
    <xf numFmtId="0" fontId="33" fillId="0" borderId="2" xfId="4" applyFont="1" applyFill="1" applyBorder="1" applyAlignment="1">
      <alignment horizontal="center" vertical="center"/>
    </xf>
    <xf numFmtId="0" fontId="33" fillId="0" borderId="21" xfId="4" applyFont="1" applyFill="1" applyBorder="1" applyAlignment="1">
      <alignment horizontal="center" vertical="center"/>
    </xf>
    <xf numFmtId="164" fontId="6" fillId="2" borderId="22" xfId="5" applyNumberFormat="1" applyFont="1" applyFill="1" applyBorder="1" applyAlignment="1">
      <alignment vertical="center" wrapText="1"/>
    </xf>
    <xf numFmtId="166" fontId="33" fillId="0" borderId="34" xfId="6" applyNumberFormat="1" applyFont="1" applyFill="1" applyBorder="1" applyAlignment="1">
      <alignment horizontal="center" vertical="center"/>
    </xf>
    <xf numFmtId="164" fontId="6" fillId="2" borderId="23" xfId="5" applyNumberFormat="1" applyFont="1" applyFill="1" applyBorder="1" applyAlignment="1">
      <alignment vertical="center" wrapText="1"/>
    </xf>
    <xf numFmtId="166" fontId="33" fillId="0" borderId="39" xfId="6" applyNumberFormat="1" applyFont="1" applyFill="1" applyBorder="1" applyAlignment="1">
      <alignment horizontal="center" vertical="center"/>
    </xf>
    <xf numFmtId="0" fontId="33" fillId="0" borderId="23" xfId="4" applyFont="1" applyFill="1" applyBorder="1" applyAlignment="1" applyProtection="1">
      <alignment wrapText="1"/>
      <protection locked="0"/>
    </xf>
    <xf numFmtId="0" fontId="93" fillId="0" borderId="23" xfId="0" applyFont="1" applyBorder="1" applyAlignment="1">
      <alignment horizontal="center" vertical="center" wrapText="1"/>
    </xf>
    <xf numFmtId="164" fontId="15" fillId="2" borderId="0" xfId="5" applyNumberFormat="1" applyFont="1" applyFill="1"/>
    <xf numFmtId="164" fontId="8" fillId="3" borderId="82" xfId="5" applyNumberFormat="1" applyFont="1" applyFill="1" applyBorder="1" applyAlignment="1">
      <alignment horizontal="center" vertical="center"/>
    </xf>
    <xf numFmtId="49" fontId="20" fillId="2" borderId="26" xfId="5" applyNumberFormat="1" applyFont="1" applyFill="1" applyBorder="1" applyAlignment="1">
      <alignment horizontal="center" vertical="center" wrapText="1"/>
    </xf>
    <xf numFmtId="49" fontId="20" fillId="2" borderId="9" xfId="5" applyNumberFormat="1" applyFont="1" applyFill="1" applyBorder="1" applyAlignment="1">
      <alignment horizontal="center" vertical="center" wrapText="1"/>
    </xf>
    <xf numFmtId="164" fontId="21" fillId="2" borderId="48" xfId="5" applyNumberFormat="1" applyFont="1" applyFill="1" applyBorder="1" applyAlignment="1" applyProtection="1">
      <alignment horizontal="left" vertical="center" wrapText="1"/>
      <protection locked="0"/>
    </xf>
    <xf numFmtId="165" fontId="21" fillId="2" borderId="32" xfId="5" applyNumberFormat="1" applyFont="1" applyFill="1" applyBorder="1" applyAlignment="1" applyProtection="1">
      <alignment horizontal="center" vertical="center" wrapText="1"/>
      <protection locked="0"/>
    </xf>
    <xf numFmtId="3" fontId="21" fillId="2" borderId="32" xfId="5" applyNumberFormat="1" applyFont="1" applyFill="1" applyBorder="1" applyAlignment="1" applyProtection="1">
      <alignment horizontal="center" vertical="center" wrapText="1"/>
      <protection locked="0"/>
    </xf>
    <xf numFmtId="164" fontId="21" fillId="2" borderId="32" xfId="5" applyNumberFormat="1" applyFont="1" applyFill="1" applyBorder="1" applyAlignment="1" applyProtection="1">
      <alignment horizontal="center" vertical="center" wrapText="1"/>
      <protection locked="0"/>
    </xf>
    <xf numFmtId="164" fontId="21" fillId="2" borderId="63" xfId="5" applyNumberFormat="1" applyFont="1" applyFill="1" applyBorder="1" applyAlignment="1">
      <alignment horizontal="center" vertical="center" wrapText="1"/>
    </xf>
    <xf numFmtId="164" fontId="21" fillId="2" borderId="18" xfId="5" applyNumberFormat="1" applyFont="1" applyFill="1" applyBorder="1" applyAlignment="1" applyProtection="1">
      <alignment horizontal="center" vertical="center" wrapText="1"/>
    </xf>
    <xf numFmtId="3" fontId="21" fillId="2" borderId="18" xfId="5" applyNumberFormat="1" applyFont="1" applyFill="1" applyBorder="1" applyAlignment="1" applyProtection="1">
      <alignment horizontal="center" vertical="center" wrapText="1"/>
    </xf>
    <xf numFmtId="164" fontId="20" fillId="2" borderId="14" xfId="5" applyNumberFormat="1" applyFont="1" applyFill="1" applyBorder="1" applyAlignment="1">
      <alignment horizontal="center" vertical="center" wrapText="1"/>
    </xf>
    <xf numFmtId="3" fontId="20" fillId="2" borderId="15" xfId="5" applyNumberFormat="1" applyFont="1" applyFill="1" applyBorder="1" applyAlignment="1" applyProtection="1">
      <alignment horizontal="center" vertical="center" wrapText="1"/>
    </xf>
    <xf numFmtId="164" fontId="20" fillId="2" borderId="27" xfId="5" applyNumberFormat="1" applyFont="1" applyFill="1" applyBorder="1" applyAlignment="1" applyProtection="1">
      <alignment horizontal="center" vertical="center" wrapText="1"/>
    </xf>
    <xf numFmtId="164" fontId="21" fillId="2" borderId="46" xfId="5" applyNumberFormat="1" applyFont="1" applyFill="1" applyBorder="1" applyAlignment="1" applyProtection="1">
      <alignment horizontal="center" vertical="center" wrapText="1"/>
    </xf>
    <xf numFmtId="164" fontId="21" fillId="2" borderId="47" xfId="5" applyNumberFormat="1" applyFont="1" applyFill="1" applyBorder="1" applyAlignment="1" applyProtection="1">
      <alignment horizontal="center" vertical="center" wrapText="1"/>
      <protection locked="0"/>
    </xf>
    <xf numFmtId="164" fontId="20" fillId="2" borderId="8" xfId="5" applyNumberFormat="1" applyFont="1" applyFill="1" applyBorder="1" applyAlignment="1" applyProtection="1">
      <alignment horizontal="center" vertical="center" wrapText="1"/>
    </xf>
    <xf numFmtId="3" fontId="21" fillId="2" borderId="38" xfId="5" applyNumberFormat="1" applyFont="1" applyFill="1" applyBorder="1" applyAlignment="1">
      <alignment horizontal="center" vertical="center" wrapText="1"/>
    </xf>
    <xf numFmtId="3" fontId="21" fillId="2" borderId="44" xfId="5" applyNumberFormat="1" applyFont="1" applyFill="1" applyBorder="1" applyAlignment="1">
      <alignment horizontal="center" vertical="center" wrapText="1"/>
    </xf>
    <xf numFmtId="164" fontId="20" fillId="2" borderId="65" xfId="5" applyNumberFormat="1" applyFont="1" applyFill="1" applyBorder="1" applyAlignment="1" applyProtection="1">
      <alignment horizontal="center" vertical="center" wrapText="1"/>
    </xf>
    <xf numFmtId="49" fontId="20" fillId="3" borderId="10" xfId="5" applyNumberFormat="1" applyFont="1" applyFill="1" applyBorder="1" applyAlignment="1">
      <alignment horizontal="center" vertical="center" wrapText="1"/>
    </xf>
    <xf numFmtId="49" fontId="20" fillId="3" borderId="11" xfId="5" applyNumberFormat="1" applyFont="1" applyFill="1" applyBorder="1" applyAlignment="1">
      <alignment horizontal="center" vertical="center" wrapText="1"/>
    </xf>
    <xf numFmtId="49" fontId="20" fillId="3" borderId="12" xfId="5" applyNumberFormat="1" applyFont="1" applyFill="1" applyBorder="1" applyAlignment="1">
      <alignment horizontal="center" vertical="center" wrapText="1"/>
    </xf>
    <xf numFmtId="49" fontId="20" fillId="3" borderId="29" xfId="5" applyNumberFormat="1" applyFont="1" applyFill="1" applyBorder="1" applyAlignment="1">
      <alignment horizontal="center" vertical="center" wrapText="1"/>
    </xf>
    <xf numFmtId="49" fontId="20" fillId="3" borderId="2" xfId="5" applyNumberFormat="1" applyFont="1" applyFill="1" applyBorder="1" applyAlignment="1">
      <alignment horizontal="center" vertical="center" wrapText="1"/>
    </xf>
    <xf numFmtId="164" fontId="21" fillId="3" borderId="22" xfId="5" applyNumberFormat="1" applyFont="1" applyFill="1" applyBorder="1" applyAlignment="1" applyProtection="1">
      <alignment horizontal="left" vertical="center" wrapText="1"/>
      <protection locked="0"/>
    </xf>
    <xf numFmtId="165" fontId="21" fillId="3" borderId="19" xfId="5" applyNumberFormat="1" applyFont="1" applyFill="1" applyBorder="1" applyAlignment="1" applyProtection="1">
      <alignment horizontal="center" vertical="center" wrapText="1"/>
      <protection locked="0"/>
    </xf>
    <xf numFmtId="164" fontId="21" fillId="3" borderId="19" xfId="5" applyNumberFormat="1" applyFont="1" applyFill="1" applyBorder="1" applyAlignment="1" applyProtection="1">
      <alignment horizontal="center" vertical="center" wrapText="1"/>
      <protection locked="0"/>
    </xf>
    <xf numFmtId="164" fontId="21" fillId="3" borderId="23" xfId="5" applyNumberFormat="1" applyFont="1" applyFill="1" applyBorder="1" applyAlignment="1">
      <alignment horizontal="left" vertical="center" wrapText="1"/>
    </xf>
    <xf numFmtId="164" fontId="20" fillId="2" borderId="14" xfId="5" applyNumberFormat="1" applyFont="1" applyFill="1" applyBorder="1" applyAlignment="1" applyProtection="1">
      <alignment horizontal="center" vertical="center" wrapText="1"/>
      <protection locked="0"/>
    </xf>
    <xf numFmtId="164" fontId="21" fillId="3" borderId="30" xfId="5" applyNumberFormat="1" applyFont="1" applyFill="1" applyBorder="1" applyAlignment="1" applyProtection="1">
      <alignment horizontal="center" vertical="center" wrapText="1"/>
      <protection locked="0"/>
    </xf>
    <xf numFmtId="164" fontId="21" fillId="3" borderId="29" xfId="5" applyNumberFormat="1" applyFont="1" applyFill="1" applyBorder="1" applyAlignment="1" applyProtection="1">
      <alignment horizontal="center" vertical="center" wrapText="1"/>
      <protection locked="0"/>
    </xf>
    <xf numFmtId="3" fontId="21" fillId="3" borderId="29" xfId="5" applyNumberFormat="1" applyFont="1" applyFill="1" applyBorder="1" applyAlignment="1" applyProtection="1">
      <alignment horizontal="center" vertical="center" wrapText="1"/>
      <protection locked="0"/>
    </xf>
    <xf numFmtId="164" fontId="21" fillId="3" borderId="57" xfId="5" applyNumberFormat="1" applyFont="1" applyFill="1" applyBorder="1" applyAlignment="1">
      <alignment horizontal="center" vertical="center" wrapText="1"/>
    </xf>
    <xf numFmtId="164" fontId="21" fillId="3" borderId="24" xfId="5" applyNumberFormat="1" applyFont="1" applyFill="1" applyBorder="1" applyAlignment="1">
      <alignment horizontal="center" vertical="center" wrapText="1"/>
    </xf>
    <xf numFmtId="164" fontId="21" fillId="3" borderId="35" xfId="5" applyNumberFormat="1" applyFont="1" applyFill="1" applyBorder="1" applyAlignment="1">
      <alignment horizontal="left" vertical="center" wrapText="1"/>
    </xf>
    <xf numFmtId="166" fontId="21" fillId="3" borderId="21" xfId="1" applyNumberFormat="1" applyFont="1" applyFill="1" applyBorder="1" applyAlignment="1" applyProtection="1">
      <alignment horizontal="center" vertical="center" wrapText="1"/>
      <protection locked="0"/>
    </xf>
    <xf numFmtId="166" fontId="21" fillId="3" borderId="50" xfId="1" applyNumberFormat="1" applyFont="1" applyFill="1" applyBorder="1" applyAlignment="1" applyProtection="1">
      <alignment horizontal="center" vertical="center" wrapText="1"/>
      <protection locked="0"/>
    </xf>
    <xf numFmtId="164" fontId="21" fillId="3" borderId="25" xfId="5" applyNumberFormat="1" applyFont="1" applyFill="1" applyBorder="1" applyAlignment="1">
      <alignment horizontal="center" vertical="center" wrapText="1"/>
    </xf>
    <xf numFmtId="49" fontId="20" fillId="3" borderId="9" xfId="5" applyNumberFormat="1" applyFont="1" applyFill="1" applyBorder="1" applyAlignment="1">
      <alignment horizontal="center" vertical="center" wrapText="1"/>
    </xf>
    <xf numFmtId="164" fontId="21" fillId="3" borderId="23" xfId="5" applyNumberFormat="1" applyFont="1" applyFill="1" applyBorder="1" applyAlignment="1" applyProtection="1">
      <alignment horizontal="center" vertical="center" wrapText="1"/>
      <protection locked="0"/>
    </xf>
    <xf numFmtId="164" fontId="21" fillId="3" borderId="32" xfId="5" applyNumberFormat="1" applyFont="1" applyFill="1" applyBorder="1" applyAlignment="1" applyProtection="1">
      <alignment horizontal="center" vertical="center" wrapText="1"/>
    </xf>
    <xf numFmtId="164" fontId="21" fillId="3" borderId="29" xfId="5" applyNumberFormat="1" applyFont="1" applyFill="1" applyBorder="1" applyAlignment="1" applyProtection="1">
      <alignment horizontal="center" vertical="center" wrapText="1"/>
    </xf>
    <xf numFmtId="164" fontId="21" fillId="3" borderId="47" xfId="5" applyNumberFormat="1" applyFont="1" applyFill="1" applyBorder="1" applyAlignment="1" applyProtection="1">
      <alignment horizontal="center" vertical="center" wrapText="1"/>
    </xf>
    <xf numFmtId="164" fontId="20" fillId="3" borderId="57" xfId="5" applyNumberFormat="1" applyFont="1" applyFill="1" applyBorder="1" applyAlignment="1" applyProtection="1">
      <alignment horizontal="center" vertical="center" wrapText="1"/>
    </xf>
    <xf numFmtId="164" fontId="21" fillId="3" borderId="24" xfId="5" applyNumberFormat="1" applyFont="1" applyFill="1" applyBorder="1" applyAlignment="1" applyProtection="1">
      <alignment horizontal="center" vertical="center" wrapText="1"/>
    </xf>
    <xf numFmtId="164" fontId="21" fillId="3" borderId="44" xfId="5" applyNumberFormat="1" applyFont="1" applyFill="1" applyBorder="1" applyAlignment="1" applyProtection="1">
      <alignment horizontal="center" vertical="center" wrapText="1"/>
    </xf>
    <xf numFmtId="164" fontId="21" fillId="3" borderId="63" xfId="5" applyNumberFormat="1" applyFont="1" applyFill="1" applyBorder="1" applyAlignment="1" applyProtection="1">
      <alignment horizontal="center" vertical="center" wrapText="1"/>
      <protection locked="0"/>
    </xf>
    <xf numFmtId="164" fontId="21" fillId="3" borderId="18" xfId="5" applyNumberFormat="1" applyFont="1" applyFill="1" applyBorder="1" applyAlignment="1" applyProtection="1">
      <alignment horizontal="center" vertical="center" wrapText="1"/>
    </xf>
    <xf numFmtId="164" fontId="21" fillId="3" borderId="46" xfId="5" applyNumberFormat="1" applyFont="1" applyFill="1" applyBorder="1" applyAlignment="1" applyProtection="1">
      <alignment horizontal="center" vertical="center" wrapText="1"/>
    </xf>
    <xf numFmtId="164" fontId="20" fillId="3" borderId="14" xfId="5" applyNumberFormat="1" applyFont="1" applyFill="1" applyBorder="1" applyAlignment="1" applyProtection="1">
      <alignment horizontal="center" vertical="center" wrapText="1"/>
      <protection locked="0"/>
    </xf>
    <xf numFmtId="164" fontId="20" fillId="3" borderId="16" xfId="5" applyNumberFormat="1" applyFont="1" applyFill="1" applyBorder="1" applyAlignment="1" applyProtection="1">
      <alignment horizontal="center" vertical="center" wrapText="1"/>
    </xf>
    <xf numFmtId="164" fontId="15" fillId="2" borderId="18" xfId="5" applyNumberFormat="1" applyFont="1" applyFill="1" applyBorder="1" applyAlignment="1" applyProtection="1">
      <alignment horizontal="center" vertical="center" wrapText="1"/>
    </xf>
    <xf numFmtId="164" fontId="8" fillId="2" borderId="18" xfId="5" applyNumberFormat="1" applyFont="1" applyFill="1" applyBorder="1" applyAlignment="1" applyProtection="1">
      <alignment horizontal="center" vertical="center" wrapText="1"/>
    </xf>
    <xf numFmtId="49" fontId="8" fillId="3" borderId="9" xfId="5" applyNumberFormat="1" applyFont="1" applyFill="1" applyBorder="1" applyAlignment="1">
      <alignment horizontal="center" vertical="center" wrapText="1"/>
    </xf>
    <xf numFmtId="164" fontId="21" fillId="3" borderId="23" xfId="5" applyNumberFormat="1" applyFont="1" applyFill="1" applyBorder="1" applyAlignment="1" applyProtection="1">
      <alignment horizontal="left" vertical="center" wrapText="1"/>
      <protection locked="0"/>
    </xf>
    <xf numFmtId="164" fontId="8" fillId="3" borderId="33" xfId="5" applyNumberFormat="1" applyFont="1" applyFill="1" applyBorder="1" applyAlignment="1">
      <alignment horizontal="center" vertical="center" wrapText="1"/>
    </xf>
    <xf numFmtId="164" fontId="8" fillId="3" borderId="8" xfId="5" applyNumberFormat="1" applyFont="1" applyFill="1" applyBorder="1" applyAlignment="1">
      <alignment horizontal="center" vertical="center" wrapText="1"/>
    </xf>
    <xf numFmtId="164" fontId="8" fillId="3" borderId="41" xfId="5" applyNumberFormat="1" applyFont="1" applyFill="1" applyBorder="1" applyAlignment="1">
      <alignment horizontal="center" vertical="center" wrapText="1"/>
    </xf>
    <xf numFmtId="164" fontId="21" fillId="3" borderId="48" xfId="5" applyNumberFormat="1" applyFont="1" applyFill="1" applyBorder="1" applyAlignment="1" applyProtection="1">
      <alignment horizontal="left" vertical="center" wrapText="1"/>
      <protection locked="0"/>
    </xf>
    <xf numFmtId="0" fontId="19" fillId="0" borderId="7" xfId="0" applyFont="1" applyBorder="1" applyAlignment="1">
      <alignment horizontal="right"/>
    </xf>
    <xf numFmtId="0" fontId="85" fillId="0" borderId="25" xfId="0" applyFont="1" applyBorder="1"/>
    <xf numFmtId="0" fontId="85" fillId="0" borderId="24" xfId="0" applyFont="1" applyFill="1" applyBorder="1" applyAlignment="1">
      <alignment wrapText="1"/>
    </xf>
    <xf numFmtId="0" fontId="85" fillId="0" borderId="24" xfId="0" applyFont="1" applyFill="1" applyBorder="1"/>
    <xf numFmtId="0" fontId="85" fillId="0" borderId="25" xfId="0" applyFont="1" applyFill="1" applyBorder="1"/>
    <xf numFmtId="0" fontId="2" fillId="0" borderId="0" xfId="0" applyFont="1" applyFill="1"/>
    <xf numFmtId="0" fontId="85" fillId="0" borderId="13" xfId="0" applyFont="1" applyFill="1" applyBorder="1"/>
    <xf numFmtId="49" fontId="18" fillId="0" borderId="13" xfId="0" applyNumberFormat="1" applyFont="1" applyFill="1" applyBorder="1"/>
    <xf numFmtId="166" fontId="15" fillId="2" borderId="33" xfId="1" applyNumberFormat="1" applyFont="1" applyFill="1" applyBorder="1"/>
    <xf numFmtId="0" fontId="85" fillId="0" borderId="24" xfId="0" applyFont="1" applyFill="1" applyBorder="1" applyAlignment="1">
      <alignment horizontal="left" wrapText="1"/>
    </xf>
    <xf numFmtId="166" fontId="14" fillId="0" borderId="8" xfId="1" applyNumberFormat="1" applyFont="1" applyFill="1" applyBorder="1"/>
    <xf numFmtId="0" fontId="85" fillId="0" borderId="25" xfId="0" applyFont="1" applyFill="1" applyBorder="1" applyAlignment="1">
      <alignment wrapText="1"/>
    </xf>
    <xf numFmtId="0" fontId="85" fillId="0" borderId="24" xfId="0" applyFont="1" applyBorder="1" applyAlignment="1">
      <alignment wrapText="1"/>
    </xf>
    <xf numFmtId="0" fontId="8" fillId="0" borderId="0" xfId="0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21" fillId="3" borderId="35" xfId="5" applyNumberFormat="1" applyFont="1" applyFill="1" applyBorder="1" applyAlignment="1" applyProtection="1">
      <alignment horizontal="left" vertical="center" wrapText="1"/>
      <protection locked="0"/>
    </xf>
    <xf numFmtId="164" fontId="21" fillId="3" borderId="50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/>
    <xf numFmtId="0" fontId="2" fillId="2" borderId="7" xfId="0" applyFont="1" applyFill="1" applyBorder="1" applyAlignment="1"/>
    <xf numFmtId="166" fontId="2" fillId="0" borderId="0" xfId="1" applyNumberFormat="1" applyFont="1" applyAlignment="1">
      <alignment horizontal="right"/>
    </xf>
    <xf numFmtId="167" fontId="2" fillId="0" borderId="0" xfId="1" applyNumberFormat="1" applyFont="1"/>
    <xf numFmtId="166" fontId="38" fillId="0" borderId="0" xfId="1" applyNumberFormat="1" applyFont="1"/>
    <xf numFmtId="166" fontId="101" fillId="0" borderId="0" xfId="1" applyNumberFormat="1" applyFont="1"/>
    <xf numFmtId="166" fontId="102" fillId="0" borderId="0" xfId="1" applyNumberFormat="1" applyFont="1"/>
    <xf numFmtId="166" fontId="103" fillId="0" borderId="0" xfId="1" applyNumberFormat="1" applyFont="1"/>
    <xf numFmtId="3" fontId="14" fillId="0" borderId="0" xfId="0" applyNumberFormat="1" applyFont="1"/>
    <xf numFmtId="166" fontId="14" fillId="0" borderId="0" xfId="0" applyNumberFormat="1" applyFont="1"/>
    <xf numFmtId="3" fontId="0" fillId="0" borderId="0" xfId="0" applyNumberFormat="1" applyFill="1"/>
    <xf numFmtId="166" fontId="16" fillId="0" borderId="8" xfId="1" applyNumberFormat="1" applyFont="1" applyBorder="1" applyAlignment="1">
      <alignment horizontal="center"/>
    </xf>
    <xf numFmtId="166" fontId="54" fillId="0" borderId="0" xfId="4" applyNumberFormat="1" applyFont="1" applyFill="1"/>
    <xf numFmtId="166" fontId="54" fillId="0" borderId="0" xfId="1" applyNumberFormat="1" applyFont="1" applyFill="1"/>
    <xf numFmtId="166" fontId="86" fillId="0" borderId="66" xfId="1" applyNumberFormat="1" applyFont="1" applyFill="1" applyBorder="1" applyAlignment="1" applyProtection="1">
      <alignment horizontal="center" vertical="center" wrapText="1"/>
    </xf>
    <xf numFmtId="166" fontId="88" fillId="0" borderId="67" xfId="1" applyNumberFormat="1" applyFont="1" applyFill="1" applyBorder="1"/>
    <xf numFmtId="0" fontId="79" fillId="0" borderId="12" xfId="0" applyFont="1" applyFill="1" applyBorder="1" applyAlignment="1">
      <alignment wrapText="1"/>
    </xf>
    <xf numFmtId="3" fontId="8" fillId="0" borderId="0" xfId="0" applyNumberFormat="1" applyFont="1" applyAlignment="1">
      <alignment horizontal="center"/>
    </xf>
    <xf numFmtId="166" fontId="5" fillId="0" borderId="0" xfId="1" applyNumberFormat="1" applyFont="1" applyFill="1"/>
    <xf numFmtId="166" fontId="16" fillId="0" borderId="0" xfId="1" applyNumberFormat="1" applyFont="1" applyBorder="1" applyAlignment="1">
      <alignment horizontal="center" wrapText="1"/>
    </xf>
    <xf numFmtId="0" fontId="15" fillId="3" borderId="13" xfId="5" applyFont="1" applyFill="1" applyBorder="1"/>
    <xf numFmtId="164" fontId="21" fillId="3" borderId="84" xfId="5" applyNumberFormat="1" applyFont="1" applyFill="1" applyBorder="1" applyAlignment="1">
      <alignment horizontal="center" vertical="center" wrapText="1"/>
    </xf>
    <xf numFmtId="166" fontId="21" fillId="3" borderId="13" xfId="1" applyNumberFormat="1" applyFont="1" applyFill="1" applyBorder="1" applyAlignment="1">
      <alignment vertical="center"/>
    </xf>
    <xf numFmtId="3" fontId="75" fillId="0" borderId="64" xfId="0" applyNumberFormat="1" applyFont="1" applyFill="1" applyBorder="1"/>
    <xf numFmtId="3" fontId="75" fillId="2" borderId="64" xfId="0" applyNumberFormat="1" applyFont="1" applyFill="1" applyBorder="1"/>
    <xf numFmtId="3" fontId="75" fillId="0" borderId="13" xfId="0" applyNumberFormat="1" applyFont="1" applyFill="1" applyBorder="1" applyAlignment="1">
      <alignment wrapText="1"/>
    </xf>
    <xf numFmtId="166" fontId="14" fillId="0" borderId="18" xfId="1" applyNumberFormat="1" applyFont="1" applyFill="1" applyBorder="1" applyAlignment="1" applyProtection="1">
      <alignment vertical="center" wrapText="1"/>
    </xf>
    <xf numFmtId="166" fontId="14" fillId="0" borderId="18" xfId="1" applyNumberFormat="1" applyFont="1" applyFill="1" applyBorder="1" applyAlignment="1" applyProtection="1">
      <alignment vertical="center" wrapText="1"/>
      <protection locked="0"/>
    </xf>
    <xf numFmtId="0" fontId="16" fillId="0" borderId="14" xfId="4" applyFont="1" applyFill="1" applyBorder="1" applyAlignment="1" applyProtection="1">
      <alignment horizontal="left" vertical="center" wrapText="1" indent="1"/>
    </xf>
    <xf numFmtId="0" fontId="14" fillId="0" borderId="21" xfId="4" applyFont="1" applyFill="1" applyBorder="1" applyAlignment="1" applyProtection="1">
      <alignment horizontal="left" vertical="center" wrapText="1" indent="2"/>
    </xf>
    <xf numFmtId="166" fontId="14" fillId="0" borderId="21" xfId="1" applyNumberFormat="1" applyFont="1" applyFill="1" applyBorder="1" applyAlignment="1" applyProtection="1">
      <alignment vertical="center" wrapText="1"/>
    </xf>
    <xf numFmtId="166" fontId="14" fillId="0" borderId="21" xfId="1" applyNumberFormat="1" applyFont="1" applyFill="1" applyBorder="1" applyAlignment="1" applyProtection="1">
      <alignment vertical="center" wrapText="1"/>
      <protection locked="0"/>
    </xf>
    <xf numFmtId="0" fontId="16" fillId="0" borderId="27" xfId="4" applyFont="1" applyFill="1" applyBorder="1" applyAlignment="1" applyProtection="1">
      <alignment horizontal="center" vertical="center" wrapText="1"/>
    </xf>
    <xf numFmtId="166" fontId="81" fillId="0" borderId="0" xfId="0" applyNumberFormat="1" applyFont="1" applyFill="1" applyBorder="1" applyAlignment="1"/>
    <xf numFmtId="3" fontId="75" fillId="2" borderId="15" xfId="0" applyNumberFormat="1" applyFont="1" applyFill="1" applyBorder="1"/>
    <xf numFmtId="3" fontId="22" fillId="0" borderId="0" xfId="0" applyNumberFormat="1" applyFont="1" applyFill="1" applyBorder="1"/>
    <xf numFmtId="0" fontId="20" fillId="0" borderId="66" xfId="0" applyFont="1" applyBorder="1" applyAlignment="1">
      <alignment horizontal="center" vertical="center" wrapText="1"/>
    </xf>
    <xf numFmtId="0" fontId="38" fillId="0" borderId="67" xfId="0" applyFont="1" applyBorder="1" applyAlignment="1">
      <alignment horizontal="center" vertical="center" wrapText="1"/>
    </xf>
    <xf numFmtId="3" fontId="29" fillId="2" borderId="31" xfId="0" applyNumberFormat="1" applyFont="1" applyFill="1" applyBorder="1" applyAlignment="1">
      <alignment horizontal="left" wrapText="1"/>
    </xf>
    <xf numFmtId="3" fontId="29" fillId="2" borderId="7" xfId="0" applyNumberFormat="1" applyFont="1" applyFill="1" applyBorder="1" applyAlignment="1">
      <alignment horizontal="left" wrapText="1"/>
    </xf>
    <xf numFmtId="3" fontId="29" fillId="2" borderId="67" xfId="0" applyNumberFormat="1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center" wrapText="1"/>
    </xf>
    <xf numFmtId="0" fontId="0" fillId="2" borderId="7" xfId="0" applyFont="1" applyFill="1" applyBorder="1" applyAlignment="1">
      <alignment horizontal="right"/>
    </xf>
    <xf numFmtId="0" fontId="2" fillId="2" borderId="7" xfId="0" applyFont="1" applyFill="1" applyBorder="1" applyAlignment="1">
      <alignment horizontal="right"/>
    </xf>
    <xf numFmtId="0" fontId="20" fillId="2" borderId="4" xfId="0" applyFont="1" applyFill="1" applyBorder="1" applyAlignment="1">
      <alignment horizontal="center" vertical="center"/>
    </xf>
    <xf numFmtId="0" fontId="38" fillId="2" borderId="6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3" fontId="6" fillId="2" borderId="0" xfId="0" applyNumberFormat="1" applyFont="1" applyFill="1" applyBorder="1" applyAlignment="1">
      <alignment horizontal="center"/>
    </xf>
    <xf numFmtId="0" fontId="0" fillId="0" borderId="11" xfId="0" applyFont="1" applyBorder="1" applyAlignment="1">
      <alignment horizontal="left" wrapText="1"/>
    </xf>
    <xf numFmtId="0" fontId="0" fillId="0" borderId="71" xfId="0" applyFont="1" applyBorder="1" applyAlignment="1">
      <alignment horizontal="left" wrapText="1"/>
    </xf>
    <xf numFmtId="0" fontId="0" fillId="0" borderId="36" xfId="0" applyFont="1" applyBorder="1" applyAlignment="1">
      <alignment horizontal="left" wrapText="1"/>
    </xf>
    <xf numFmtId="0" fontId="92" fillId="0" borderId="0" xfId="0" applyFont="1" applyAlignment="1">
      <alignment horizontal="center"/>
    </xf>
    <xf numFmtId="0" fontId="51" fillId="0" borderId="22" xfId="0" applyFont="1" applyBorder="1" applyAlignment="1">
      <alignment horizontal="left" wrapText="1"/>
    </xf>
    <xf numFmtId="0" fontId="84" fillId="0" borderId="19" xfId="0" applyFont="1" applyBorder="1" applyAlignment="1">
      <alignment horizontal="left" wrapText="1"/>
    </xf>
    <xf numFmtId="0" fontId="16" fillId="2" borderId="8" xfId="0" applyFont="1" applyFill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16" fillId="0" borderId="8" xfId="0" applyFont="1" applyBorder="1" applyAlignment="1">
      <alignment vertical="center" wrapText="1"/>
    </xf>
    <xf numFmtId="0" fontId="65" fillId="0" borderId="12" xfId="0" applyFont="1" applyBorder="1" applyAlignment="1">
      <alignment horizontal="left"/>
    </xf>
    <xf numFmtId="0" fontId="65" fillId="0" borderId="70" xfId="0" applyFont="1" applyBorder="1" applyAlignment="1">
      <alignment horizontal="left"/>
    </xf>
    <xf numFmtId="0" fontId="65" fillId="0" borderId="37" xfId="0" applyFont="1" applyBorder="1" applyAlignment="1">
      <alignment horizontal="left"/>
    </xf>
    <xf numFmtId="0" fontId="17" fillId="0" borderId="35" xfId="0" applyFont="1" applyBorder="1" applyAlignment="1">
      <alignment horizontal="center" wrapText="1"/>
    </xf>
    <xf numFmtId="0" fontId="17" fillId="0" borderId="21" xfId="0" applyFont="1" applyBorder="1" applyAlignment="1">
      <alignment horizontal="center" wrapText="1"/>
    </xf>
    <xf numFmtId="0" fontId="17" fillId="0" borderId="48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0" fillId="0" borderId="22" xfId="0" applyFont="1" applyBorder="1" applyAlignment="1">
      <alignment horizontal="left" wrapText="1"/>
    </xf>
    <xf numFmtId="0" fontId="0" fillId="0" borderId="19" xfId="0" applyFont="1" applyBorder="1" applyAlignment="1">
      <alignment horizontal="left" wrapText="1"/>
    </xf>
    <xf numFmtId="0" fontId="14" fillId="0" borderId="23" xfId="0" applyFont="1" applyBorder="1" applyAlignment="1">
      <alignment horizontal="left"/>
    </xf>
    <xf numFmtId="0" fontId="14" fillId="0" borderId="13" xfId="0" applyFont="1" applyBorder="1" applyAlignment="1">
      <alignment horizontal="left"/>
    </xf>
    <xf numFmtId="0" fontId="14" fillId="0" borderId="11" xfId="0" applyFont="1" applyBorder="1" applyAlignment="1"/>
    <xf numFmtId="0" fontId="14" fillId="0" borderId="71" xfId="0" applyFont="1" applyBorder="1" applyAlignment="1"/>
    <xf numFmtId="0" fontId="14" fillId="0" borderId="36" xfId="0" applyFont="1" applyBorder="1" applyAlignment="1"/>
    <xf numFmtId="0" fontId="14" fillId="0" borderId="22" xfId="0" applyFont="1" applyBorder="1" applyAlignment="1">
      <alignment horizontal="left" wrapText="1"/>
    </xf>
    <xf numFmtId="0" fontId="14" fillId="0" borderId="19" xfId="0" applyFont="1" applyBorder="1" applyAlignment="1">
      <alignment horizontal="left" wrapText="1"/>
    </xf>
    <xf numFmtId="0" fontId="15" fillId="0" borderId="23" xfId="0" applyFont="1" applyBorder="1" applyAlignment="1"/>
    <xf numFmtId="0" fontId="15" fillId="0" borderId="13" xfId="0" applyFont="1" applyBorder="1" applyAlignment="1"/>
    <xf numFmtId="0" fontId="15" fillId="0" borderId="63" xfId="0" applyFont="1" applyBorder="1" applyAlignment="1">
      <alignment horizontal="left" wrapText="1"/>
    </xf>
    <xf numFmtId="0" fontId="15" fillId="0" borderId="18" xfId="0" applyFont="1" applyBorder="1" applyAlignment="1">
      <alignment horizontal="left" wrapText="1"/>
    </xf>
    <xf numFmtId="0" fontId="15" fillId="0" borderId="23" xfId="0" applyFont="1" applyBorder="1" applyAlignment="1">
      <alignment horizontal="left"/>
    </xf>
    <xf numFmtId="0" fontId="15" fillId="0" borderId="13" xfId="0" applyFont="1" applyBorder="1" applyAlignment="1">
      <alignment horizontal="left"/>
    </xf>
    <xf numFmtId="0" fontId="17" fillId="0" borderId="48" xfId="0" applyFont="1" applyBorder="1" applyAlignment="1">
      <alignment horizontal="center" wrapText="1"/>
    </xf>
    <xf numFmtId="0" fontId="17" fillId="0" borderId="32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9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0" borderId="57" xfId="0" applyFont="1" applyBorder="1" applyAlignment="1">
      <alignment vertical="center" wrapText="1"/>
    </xf>
    <xf numFmtId="0" fontId="16" fillId="0" borderId="24" xfId="0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 applyAlignment="1"/>
    <xf numFmtId="0" fontId="8" fillId="0" borderId="57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70" fillId="0" borderId="0" xfId="0" applyFont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7" xfId="0" applyFont="1" applyBorder="1" applyAlignment="1">
      <alignment horizontal="center" vertical="center" wrapText="1"/>
    </xf>
    <xf numFmtId="0" fontId="5" fillId="0" borderId="44" xfId="0" applyFont="1" applyBorder="1" applyAlignment="1">
      <alignment vertical="center" wrapText="1"/>
    </xf>
    <xf numFmtId="0" fontId="16" fillId="0" borderId="44" xfId="0" applyFont="1" applyBorder="1" applyAlignment="1">
      <alignment horizontal="center" vertical="center" wrapText="1"/>
    </xf>
    <xf numFmtId="0" fontId="16" fillId="0" borderId="57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8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67" xfId="0" applyFont="1" applyBorder="1" applyAlignment="1">
      <alignment horizontal="center"/>
    </xf>
    <xf numFmtId="49" fontId="8" fillId="2" borderId="13" xfId="5" applyNumberFormat="1" applyFont="1" applyFill="1" applyBorder="1" applyAlignment="1">
      <alignment horizontal="center" vertical="center" wrapText="1"/>
    </xf>
    <xf numFmtId="49" fontId="8" fillId="2" borderId="18" xfId="5" applyNumberFormat="1" applyFont="1" applyFill="1" applyBorder="1" applyAlignment="1">
      <alignment horizontal="center" vertical="center" wrapText="1"/>
    </xf>
    <xf numFmtId="49" fontId="26" fillId="0" borderId="0" xfId="5" applyNumberFormat="1" applyFont="1" applyFill="1" applyBorder="1" applyAlignment="1">
      <alignment horizontal="center"/>
    </xf>
    <xf numFmtId="49" fontId="8" fillId="0" borderId="72" xfId="5" applyNumberFormat="1" applyFont="1" applyFill="1" applyBorder="1" applyAlignment="1">
      <alignment horizontal="center" vertical="center" wrapText="1"/>
    </xf>
    <xf numFmtId="49" fontId="8" fillId="0" borderId="73" xfId="5" applyNumberFormat="1" applyFont="1" applyFill="1" applyBorder="1" applyAlignment="1">
      <alignment horizontal="center" vertical="center" wrapText="1"/>
    </xf>
    <xf numFmtId="164" fontId="8" fillId="0" borderId="74" xfId="5" applyNumberFormat="1" applyFont="1" applyFill="1" applyBorder="1" applyAlignment="1">
      <alignment horizontal="center" vertical="center"/>
    </xf>
    <xf numFmtId="164" fontId="8" fillId="0" borderId="81" xfId="5" applyNumberFormat="1" applyFont="1" applyFill="1" applyBorder="1" applyAlignment="1">
      <alignment horizontal="center" vertical="center"/>
    </xf>
    <xf numFmtId="164" fontId="8" fillId="0" borderId="74" xfId="5" applyNumberFormat="1" applyFont="1" applyFill="1" applyBorder="1" applyAlignment="1">
      <alignment horizontal="center" vertical="center" wrapText="1"/>
    </xf>
    <xf numFmtId="164" fontId="8" fillId="3" borderId="74" xfId="5" applyNumberFormat="1" applyFont="1" applyFill="1" applyBorder="1" applyAlignment="1">
      <alignment horizontal="center" vertical="center" wrapText="1"/>
    </xf>
    <xf numFmtId="164" fontId="8" fillId="3" borderId="81" xfId="5" applyNumberFormat="1" applyFont="1" applyFill="1" applyBorder="1" applyAlignment="1">
      <alignment horizontal="center" vertical="center" wrapText="1"/>
    </xf>
    <xf numFmtId="164" fontId="8" fillId="3" borderId="75" xfId="5" applyNumberFormat="1" applyFont="1" applyFill="1" applyBorder="1" applyAlignment="1">
      <alignment horizontal="center" vertical="center"/>
    </xf>
    <xf numFmtId="164" fontId="8" fillId="0" borderId="76" xfId="5" applyNumberFormat="1" applyFont="1" applyFill="1" applyBorder="1" applyAlignment="1">
      <alignment horizontal="center" vertical="center"/>
    </xf>
    <xf numFmtId="164" fontId="8" fillId="0" borderId="83" xfId="5" applyNumberFormat="1" applyFont="1" applyFill="1" applyBorder="1" applyAlignment="1">
      <alignment horizontal="center" vertical="center"/>
    </xf>
    <xf numFmtId="0" fontId="16" fillId="0" borderId="9" xfId="4" applyFont="1" applyFill="1" applyBorder="1" applyAlignment="1" applyProtection="1">
      <alignment horizontal="left" vertical="center" wrapText="1"/>
    </xf>
    <xf numFmtId="0" fontId="16" fillId="0" borderId="41" xfId="4" applyFont="1" applyFill="1" applyBorder="1" applyAlignment="1" applyProtection="1">
      <alignment horizontal="left" vertical="center" wrapText="1"/>
    </xf>
    <xf numFmtId="0" fontId="0" fillId="0" borderId="0" xfId="0" applyAlignment="1">
      <alignment horizontal="center"/>
    </xf>
    <xf numFmtId="164" fontId="16" fillId="0" borderId="0" xfId="4" applyNumberFormat="1" applyFont="1" applyFill="1" applyBorder="1" applyAlignment="1" applyProtection="1">
      <alignment horizontal="center" vertical="center"/>
    </xf>
    <xf numFmtId="0" fontId="16" fillId="0" borderId="49" xfId="4" applyFont="1" applyFill="1" applyBorder="1" applyAlignment="1" applyProtection="1">
      <alignment horizontal="left" vertical="center" wrapText="1"/>
    </xf>
    <xf numFmtId="0" fontId="25" fillId="0" borderId="0" xfId="0" applyFont="1" applyAlignment="1">
      <alignment horizontal="center"/>
    </xf>
    <xf numFmtId="164" fontId="94" fillId="0" borderId="7" xfId="0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/>
    </xf>
    <xf numFmtId="164" fontId="34" fillId="0" borderId="0" xfId="0" applyNumberFormat="1" applyFont="1" applyFill="1" applyBorder="1" applyAlignment="1">
      <alignment horizontal="center" vertical="center" wrapText="1"/>
    </xf>
    <xf numFmtId="0" fontId="81" fillId="0" borderId="26" xfId="0" applyFont="1" applyFill="1" applyBorder="1" applyAlignment="1">
      <alignment horizontal="right"/>
    </xf>
    <xf numFmtId="0" fontId="81" fillId="0" borderId="1" xfId="0" applyFont="1" applyFill="1" applyBorder="1" applyAlignment="1">
      <alignment horizontal="right"/>
    </xf>
    <xf numFmtId="0" fontId="81" fillId="0" borderId="31" xfId="0" applyFont="1" applyFill="1" applyBorder="1" applyAlignment="1">
      <alignment horizontal="right"/>
    </xf>
    <xf numFmtId="0" fontId="81" fillId="0" borderId="7" xfId="0" applyFont="1" applyFill="1" applyBorder="1" applyAlignment="1">
      <alignment horizontal="right"/>
    </xf>
    <xf numFmtId="166" fontId="81" fillId="0" borderId="53" xfId="0" applyNumberFormat="1" applyFont="1" applyFill="1" applyBorder="1" applyAlignment="1">
      <alignment horizontal="center"/>
    </xf>
    <xf numFmtId="0" fontId="50" fillId="0" borderId="0" xfId="0" applyFont="1" applyAlignment="1">
      <alignment horizontal="center" vertical="center" wrapText="1"/>
    </xf>
    <xf numFmtId="0" fontId="6" fillId="2" borderId="7" xfId="0" applyFont="1" applyFill="1" applyBorder="1" applyAlignment="1">
      <alignment horizontal="right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3" fontId="42" fillId="0" borderId="0" xfId="0" applyNumberFormat="1" applyFont="1" applyAlignment="1">
      <alignment horizontal="left"/>
    </xf>
    <xf numFmtId="3" fontId="0" fillId="0" borderId="0" xfId="0" applyNumberFormat="1" applyAlignment="1">
      <alignment horizontal="left"/>
    </xf>
    <xf numFmtId="3" fontId="0" fillId="0" borderId="0" xfId="0" applyNumberFormat="1" applyAlignment="1">
      <alignment horizontal="left" vertical="center" wrapText="1"/>
    </xf>
    <xf numFmtId="0" fontId="41" fillId="0" borderId="0" xfId="0" applyFont="1" applyAlignment="1">
      <alignment horizontal="center"/>
    </xf>
    <xf numFmtId="0" fontId="45" fillId="0" borderId="0" xfId="0" applyFont="1" applyAlignment="1">
      <alignment horizontal="center" vertical="center" wrapText="1"/>
    </xf>
    <xf numFmtId="0" fontId="43" fillId="0" borderId="7" xfId="0" applyFont="1" applyBorder="1" applyAlignment="1">
      <alignment horizontal="right"/>
    </xf>
    <xf numFmtId="0" fontId="4" fillId="0" borderId="2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66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6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56" xfId="0" applyFont="1" applyBorder="1" applyAlignment="1">
      <alignment horizontal="center"/>
    </xf>
    <xf numFmtId="0" fontId="4" fillId="0" borderId="51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62" xfId="0" applyFont="1" applyBorder="1" applyAlignment="1">
      <alignment horizontal="center"/>
    </xf>
    <xf numFmtId="0" fontId="4" fillId="0" borderId="65" xfId="0" applyFont="1" applyBorder="1" applyAlignment="1">
      <alignment horizontal="center"/>
    </xf>
    <xf numFmtId="0" fontId="43" fillId="0" borderId="9" xfId="0" applyFont="1" applyBorder="1" applyAlignment="1">
      <alignment vertical="center" wrapText="1"/>
    </xf>
    <xf numFmtId="0" fontId="43" fillId="0" borderId="41" xfId="0" applyFont="1" applyBorder="1" applyAlignment="1">
      <alignment vertical="center" wrapText="1"/>
    </xf>
    <xf numFmtId="0" fontId="43" fillId="0" borderId="33" xfId="0" applyFont="1" applyBorder="1" applyAlignment="1">
      <alignment vertical="center" wrapText="1"/>
    </xf>
    <xf numFmtId="166" fontId="43" fillId="0" borderId="9" xfId="1" applyNumberFormat="1" applyFont="1" applyBorder="1" applyAlignment="1">
      <alignment horizontal="center"/>
    </xf>
    <xf numFmtId="166" fontId="43" fillId="0" borderId="33" xfId="1" applyNumberFormat="1" applyFont="1" applyBorder="1" applyAlignment="1">
      <alignment horizontal="center"/>
    </xf>
    <xf numFmtId="0" fontId="44" fillId="0" borderId="9" xfId="0" applyFont="1" applyBorder="1" applyAlignment="1">
      <alignment horizontal="center"/>
    </xf>
    <xf numFmtId="0" fontId="44" fillId="0" borderId="41" xfId="0" applyFont="1" applyBorder="1" applyAlignment="1">
      <alignment horizontal="center"/>
    </xf>
    <xf numFmtId="0" fontId="44" fillId="0" borderId="33" xfId="0" applyFont="1" applyBorder="1" applyAlignment="1">
      <alignment horizontal="center"/>
    </xf>
    <xf numFmtId="166" fontId="44" fillId="0" borderId="9" xfId="1" applyNumberFormat="1" applyFont="1" applyBorder="1" applyAlignment="1">
      <alignment horizontal="center"/>
    </xf>
    <xf numFmtId="166" fontId="44" fillId="0" borderId="33" xfId="1" applyNumberFormat="1" applyFont="1" applyBorder="1" applyAlignment="1">
      <alignment horizontal="center"/>
    </xf>
    <xf numFmtId="0" fontId="89" fillId="0" borderId="9" xfId="4" applyFont="1" applyFill="1" applyBorder="1" applyAlignment="1">
      <alignment horizontal="center" vertical="center" wrapText="1"/>
    </xf>
    <xf numFmtId="0" fontId="89" fillId="0" borderId="41" xfId="4" applyFont="1" applyFill="1" applyBorder="1" applyAlignment="1">
      <alignment horizontal="center" vertical="center" wrapText="1"/>
    </xf>
    <xf numFmtId="0" fontId="89" fillId="0" borderId="33" xfId="4" applyFont="1" applyFill="1" applyBorder="1" applyAlignment="1">
      <alignment horizontal="center" vertical="center" wrapText="1"/>
    </xf>
    <xf numFmtId="164" fontId="34" fillId="0" borderId="0" xfId="4" applyNumberFormat="1" applyFont="1" applyFill="1" applyBorder="1" applyAlignment="1" applyProtection="1">
      <alignment horizontal="center" vertical="center" wrapText="1"/>
    </xf>
    <xf numFmtId="0" fontId="55" fillId="0" borderId="7" xfId="3" applyFont="1" applyFill="1" applyBorder="1" applyAlignment="1" applyProtection="1">
      <alignment horizontal="right"/>
    </xf>
    <xf numFmtId="0" fontId="56" fillId="0" borderId="7" xfId="3" applyFont="1" applyFill="1" applyBorder="1" applyAlignment="1" applyProtection="1">
      <alignment horizontal="right"/>
    </xf>
    <xf numFmtId="0" fontId="57" fillId="0" borderId="17" xfId="4" applyFont="1" applyFill="1" applyBorder="1" applyAlignment="1">
      <alignment horizontal="center" vertical="center" wrapText="1"/>
    </xf>
    <xf numFmtId="0" fontId="57" fillId="0" borderId="52" xfId="4" applyFont="1" applyFill="1" applyBorder="1" applyAlignment="1">
      <alignment horizontal="center" vertical="center" wrapText="1"/>
    </xf>
    <xf numFmtId="0" fontId="57" fillId="0" borderId="20" xfId="4" applyFont="1" applyFill="1" applyBorder="1" applyAlignment="1">
      <alignment horizontal="center" vertical="center" wrapText="1"/>
    </xf>
    <xf numFmtId="0" fontId="57" fillId="0" borderId="64" xfId="4" applyFont="1" applyFill="1" applyBorder="1" applyAlignment="1">
      <alignment horizontal="center" vertical="center" wrapText="1"/>
    </xf>
    <xf numFmtId="0" fontId="57" fillId="0" borderId="79" xfId="4" applyFont="1" applyFill="1" applyBorder="1" applyAlignment="1">
      <alignment horizontal="center" vertical="center" wrapText="1"/>
    </xf>
    <xf numFmtId="0" fontId="57" fillId="0" borderId="1" xfId="4" applyFont="1" applyFill="1" applyBorder="1" applyAlignment="1">
      <alignment horizontal="center" vertical="center" wrapText="1"/>
    </xf>
    <xf numFmtId="0" fontId="57" fillId="0" borderId="68" xfId="4" applyFont="1" applyFill="1" applyBorder="1" applyAlignment="1">
      <alignment horizontal="center" vertical="center" wrapText="1"/>
    </xf>
    <xf numFmtId="0" fontId="57" fillId="0" borderId="28" xfId="4" applyFont="1" applyFill="1" applyBorder="1" applyAlignment="1">
      <alignment horizontal="center" vertical="center" wrapText="1"/>
    </xf>
    <xf numFmtId="0" fontId="57" fillId="0" borderId="65" xfId="4" applyFont="1" applyFill="1" applyBorder="1" applyAlignment="1">
      <alignment horizontal="center" vertical="center" wrapText="1"/>
    </xf>
    <xf numFmtId="164" fontId="80" fillId="0" borderId="0" xfId="4" applyNumberFormat="1" applyFont="1" applyFill="1" applyBorder="1" applyAlignment="1" applyProtection="1">
      <alignment horizontal="center" vertical="center" wrapText="1"/>
    </xf>
    <xf numFmtId="0" fontId="86" fillId="0" borderId="9" xfId="4" applyFont="1" applyFill="1" applyBorder="1" applyAlignment="1" applyProtection="1">
      <alignment horizontal="center" vertical="center" wrapText="1"/>
    </xf>
    <xf numFmtId="0" fontId="86" fillId="0" borderId="41" xfId="4" applyFont="1" applyFill="1" applyBorder="1" applyAlignment="1" applyProtection="1">
      <alignment horizontal="center" vertical="center" wrapText="1"/>
    </xf>
    <xf numFmtId="0" fontId="86" fillId="0" borderId="33" xfId="4" applyFont="1" applyFill="1" applyBorder="1" applyAlignment="1" applyProtection="1">
      <alignment horizontal="center" vertical="center" wrapText="1"/>
    </xf>
    <xf numFmtId="0" fontId="87" fillId="0" borderId="9" xfId="0" applyFont="1" applyFill="1" applyBorder="1" applyAlignment="1">
      <alignment horizontal="left" wrapText="1"/>
    </xf>
    <xf numFmtId="0" fontId="87" fillId="0" borderId="41" xfId="0" applyFont="1" applyFill="1" applyBorder="1" applyAlignment="1">
      <alignment horizontal="left" wrapText="1"/>
    </xf>
    <xf numFmtId="0" fontId="87" fillId="0" borderId="33" xfId="0" applyFont="1" applyFill="1" applyBorder="1" applyAlignment="1">
      <alignment horizontal="left" wrapText="1"/>
    </xf>
    <xf numFmtId="0" fontId="88" fillId="0" borderId="80" xfId="4" applyFont="1" applyFill="1" applyBorder="1" applyAlignment="1">
      <alignment horizontal="center" wrapText="1"/>
    </xf>
    <xf numFmtId="0" fontId="88" fillId="0" borderId="60" xfId="4" applyFont="1" applyFill="1" applyBorder="1" applyAlignment="1">
      <alignment horizontal="center" wrapText="1"/>
    </xf>
    <xf numFmtId="0" fontId="87" fillId="0" borderId="41" xfId="4" applyFont="1" applyFill="1" applyBorder="1" applyAlignment="1">
      <alignment horizontal="center" wrapText="1"/>
    </xf>
    <xf numFmtId="0" fontId="87" fillId="0" borderId="33" xfId="4" applyFont="1" applyFill="1" applyBorder="1" applyAlignment="1">
      <alignment horizontal="center" wrapText="1"/>
    </xf>
    <xf numFmtId="0" fontId="57" fillId="0" borderId="9" xfId="4" applyFont="1" applyFill="1" applyBorder="1" applyAlignment="1">
      <alignment horizontal="center"/>
    </xf>
    <xf numFmtId="0" fontId="57" fillId="0" borderId="49" xfId="4" applyFont="1" applyFill="1" applyBorder="1" applyAlignment="1">
      <alignment horizontal="center"/>
    </xf>
    <xf numFmtId="0" fontId="68" fillId="0" borderId="14" xfId="4" applyFont="1" applyFill="1" applyBorder="1" applyAlignment="1" applyProtection="1">
      <alignment horizontal="left"/>
    </xf>
    <xf numFmtId="0" fontId="68" fillId="0" borderId="15" xfId="4" applyFont="1" applyFill="1" applyBorder="1" applyAlignment="1" applyProtection="1">
      <alignment horizontal="left"/>
    </xf>
    <xf numFmtId="0" fontId="68" fillId="0" borderId="9" xfId="4" applyFont="1" applyFill="1" applyBorder="1" applyAlignment="1">
      <alignment horizontal="center" wrapText="1"/>
    </xf>
    <xf numFmtId="0" fontId="68" fillId="0" borderId="33" xfId="4" applyFont="1" applyFill="1" applyBorder="1" applyAlignment="1">
      <alignment horizontal="center" wrapText="1"/>
    </xf>
    <xf numFmtId="0" fontId="68" fillId="0" borderId="9" xfId="4" applyFont="1" applyFill="1" applyBorder="1" applyAlignment="1">
      <alignment horizontal="center"/>
    </xf>
    <xf numFmtId="0" fontId="68" fillId="0" borderId="41" xfId="4" applyFont="1" applyFill="1" applyBorder="1" applyAlignment="1">
      <alignment horizontal="center"/>
    </xf>
  </cellXfs>
  <cellStyles count="9">
    <cellStyle name="Ezres" xfId="1" builtinId="3"/>
    <cellStyle name="Ezres 2" xfId="2"/>
    <cellStyle name="Ezres 2 2" xfId="6"/>
    <cellStyle name="Ezres 2 3" xfId="8"/>
    <cellStyle name="Normál" xfId="0" builtinId="0"/>
    <cellStyle name="Normál 2" xfId="7"/>
    <cellStyle name="Normál_Adósságotkeletkeztető1" xfId="3"/>
    <cellStyle name="Normál_KVRENMUNKA" xfId="4"/>
    <cellStyle name="Normál_rendelet mellékletei (1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470535</xdr:colOff>
      <xdr:row>8</xdr:row>
      <xdr:rowOff>139065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6038195" y="16935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9</xdr:row>
      <xdr:rowOff>139065</xdr:rowOff>
    </xdr:from>
    <xdr:ext cx="184731" cy="264560"/>
    <xdr:sp macro="" textlink="">
      <xdr:nvSpPr>
        <xdr:cNvPr id="3" name="Szövegdoboz 2"/>
        <xdr:cNvSpPr txBox="1"/>
      </xdr:nvSpPr>
      <xdr:spPr>
        <a:xfrm>
          <a:off x="16038195" y="21355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10</xdr:row>
      <xdr:rowOff>139065</xdr:rowOff>
    </xdr:from>
    <xdr:ext cx="184731" cy="264560"/>
    <xdr:sp macro="" textlink="">
      <xdr:nvSpPr>
        <xdr:cNvPr id="4" name="Szövegdoboz 3"/>
        <xdr:cNvSpPr txBox="1"/>
      </xdr:nvSpPr>
      <xdr:spPr>
        <a:xfrm>
          <a:off x="16038195" y="2501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11</xdr:row>
      <xdr:rowOff>139065</xdr:rowOff>
    </xdr:from>
    <xdr:ext cx="184731" cy="264560"/>
    <xdr:sp macro="" textlink="">
      <xdr:nvSpPr>
        <xdr:cNvPr id="5" name="Szövegdoboz 4"/>
        <xdr:cNvSpPr txBox="1"/>
      </xdr:nvSpPr>
      <xdr:spPr>
        <a:xfrm>
          <a:off x="16038195" y="3110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12</xdr:row>
      <xdr:rowOff>139065</xdr:rowOff>
    </xdr:from>
    <xdr:ext cx="184731" cy="264560"/>
    <xdr:sp macro="" textlink="">
      <xdr:nvSpPr>
        <xdr:cNvPr id="6" name="Szövegdoboz 5"/>
        <xdr:cNvSpPr txBox="1"/>
      </xdr:nvSpPr>
      <xdr:spPr>
        <a:xfrm>
          <a:off x="16038195" y="32785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13</xdr:row>
      <xdr:rowOff>139065</xdr:rowOff>
    </xdr:from>
    <xdr:ext cx="184731" cy="264560"/>
    <xdr:sp macro="" textlink="">
      <xdr:nvSpPr>
        <xdr:cNvPr id="7" name="Szövegdoboz 6"/>
        <xdr:cNvSpPr txBox="1"/>
      </xdr:nvSpPr>
      <xdr:spPr>
        <a:xfrm>
          <a:off x="16038195" y="3446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14</xdr:row>
      <xdr:rowOff>139065</xdr:rowOff>
    </xdr:from>
    <xdr:ext cx="184731" cy="264560"/>
    <xdr:sp macro="" textlink="">
      <xdr:nvSpPr>
        <xdr:cNvPr id="8" name="Szövegdoboz 7"/>
        <xdr:cNvSpPr txBox="1"/>
      </xdr:nvSpPr>
      <xdr:spPr>
        <a:xfrm>
          <a:off x="16038195" y="395668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15</xdr:row>
      <xdr:rowOff>139065</xdr:rowOff>
    </xdr:from>
    <xdr:ext cx="184731" cy="264560"/>
    <xdr:sp macro="" textlink="">
      <xdr:nvSpPr>
        <xdr:cNvPr id="9" name="Szövegdoboz 8"/>
        <xdr:cNvSpPr txBox="1"/>
      </xdr:nvSpPr>
      <xdr:spPr>
        <a:xfrm>
          <a:off x="16038195" y="46653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16</xdr:row>
      <xdr:rowOff>139065</xdr:rowOff>
    </xdr:from>
    <xdr:ext cx="184731" cy="264560"/>
    <xdr:sp macro="" textlink="">
      <xdr:nvSpPr>
        <xdr:cNvPr id="10" name="Szövegdoboz 9"/>
        <xdr:cNvSpPr txBox="1"/>
      </xdr:nvSpPr>
      <xdr:spPr>
        <a:xfrm>
          <a:off x="16038195" y="49168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17</xdr:row>
      <xdr:rowOff>139065</xdr:rowOff>
    </xdr:from>
    <xdr:ext cx="184731" cy="264560"/>
    <xdr:sp macro="" textlink="">
      <xdr:nvSpPr>
        <xdr:cNvPr id="11" name="Szövegdoboz 10"/>
        <xdr:cNvSpPr txBox="1"/>
      </xdr:nvSpPr>
      <xdr:spPr>
        <a:xfrm>
          <a:off x="16038195" y="50844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18</xdr:row>
      <xdr:rowOff>139065</xdr:rowOff>
    </xdr:from>
    <xdr:ext cx="184731" cy="264560"/>
    <xdr:sp macro="" textlink="">
      <xdr:nvSpPr>
        <xdr:cNvPr id="12" name="Szövegdoboz 11"/>
        <xdr:cNvSpPr txBox="1"/>
      </xdr:nvSpPr>
      <xdr:spPr>
        <a:xfrm>
          <a:off x="16038195" y="525208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19</xdr:row>
      <xdr:rowOff>139065</xdr:rowOff>
    </xdr:from>
    <xdr:ext cx="184731" cy="264560"/>
    <xdr:sp macro="" textlink="">
      <xdr:nvSpPr>
        <xdr:cNvPr id="13" name="Szövegdoboz 12"/>
        <xdr:cNvSpPr txBox="1"/>
      </xdr:nvSpPr>
      <xdr:spPr>
        <a:xfrm>
          <a:off x="16038195" y="5419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20</xdr:row>
      <xdr:rowOff>139065</xdr:rowOff>
    </xdr:from>
    <xdr:ext cx="184731" cy="264560"/>
    <xdr:sp macro="" textlink="">
      <xdr:nvSpPr>
        <xdr:cNvPr id="14" name="Szövegdoboz 13"/>
        <xdr:cNvSpPr txBox="1"/>
      </xdr:nvSpPr>
      <xdr:spPr>
        <a:xfrm>
          <a:off x="16038195" y="55873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21</xdr:row>
      <xdr:rowOff>139065</xdr:rowOff>
    </xdr:from>
    <xdr:ext cx="184731" cy="264560"/>
    <xdr:sp macro="" textlink="">
      <xdr:nvSpPr>
        <xdr:cNvPr id="15" name="Szövegdoboz 14"/>
        <xdr:cNvSpPr txBox="1"/>
      </xdr:nvSpPr>
      <xdr:spPr>
        <a:xfrm>
          <a:off x="16038195" y="57550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22</xdr:row>
      <xdr:rowOff>139065</xdr:rowOff>
    </xdr:from>
    <xdr:ext cx="184731" cy="264560"/>
    <xdr:sp macro="" textlink="">
      <xdr:nvSpPr>
        <xdr:cNvPr id="16" name="Szövegdoboz 15"/>
        <xdr:cNvSpPr txBox="1"/>
      </xdr:nvSpPr>
      <xdr:spPr>
        <a:xfrm>
          <a:off x="16038195" y="59226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23</xdr:row>
      <xdr:rowOff>139065</xdr:rowOff>
    </xdr:from>
    <xdr:ext cx="184731" cy="264560"/>
    <xdr:sp macro="" textlink="">
      <xdr:nvSpPr>
        <xdr:cNvPr id="17" name="Szövegdoboz 16"/>
        <xdr:cNvSpPr txBox="1"/>
      </xdr:nvSpPr>
      <xdr:spPr>
        <a:xfrm>
          <a:off x="16038195" y="6311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24</xdr:row>
      <xdr:rowOff>139065</xdr:rowOff>
    </xdr:from>
    <xdr:ext cx="184731" cy="264560"/>
    <xdr:sp macro="" textlink="">
      <xdr:nvSpPr>
        <xdr:cNvPr id="18" name="Szövegdoboz 17"/>
        <xdr:cNvSpPr txBox="1"/>
      </xdr:nvSpPr>
      <xdr:spPr>
        <a:xfrm>
          <a:off x="16038195" y="65779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25</xdr:row>
      <xdr:rowOff>139065</xdr:rowOff>
    </xdr:from>
    <xdr:ext cx="184731" cy="264560"/>
    <xdr:sp macro="" textlink="">
      <xdr:nvSpPr>
        <xdr:cNvPr id="19" name="Szövegdoboz 18"/>
        <xdr:cNvSpPr txBox="1"/>
      </xdr:nvSpPr>
      <xdr:spPr>
        <a:xfrm>
          <a:off x="16038195" y="68065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26</xdr:row>
      <xdr:rowOff>139065</xdr:rowOff>
    </xdr:from>
    <xdr:ext cx="184731" cy="264560"/>
    <xdr:sp macro="" textlink="">
      <xdr:nvSpPr>
        <xdr:cNvPr id="20" name="Szövegdoboz 19"/>
        <xdr:cNvSpPr txBox="1"/>
      </xdr:nvSpPr>
      <xdr:spPr>
        <a:xfrm>
          <a:off x="16038195" y="69742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27</xdr:row>
      <xdr:rowOff>139065</xdr:rowOff>
    </xdr:from>
    <xdr:ext cx="184731" cy="264560"/>
    <xdr:sp macro="" textlink="">
      <xdr:nvSpPr>
        <xdr:cNvPr id="21" name="Szövegdoboz 20"/>
        <xdr:cNvSpPr txBox="1"/>
      </xdr:nvSpPr>
      <xdr:spPr>
        <a:xfrm>
          <a:off x="16038195" y="72409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28</xdr:row>
      <xdr:rowOff>139065</xdr:rowOff>
    </xdr:from>
    <xdr:ext cx="184731" cy="264560"/>
    <xdr:sp macro="" textlink="">
      <xdr:nvSpPr>
        <xdr:cNvPr id="22" name="Szövegdoboz 21"/>
        <xdr:cNvSpPr txBox="1"/>
      </xdr:nvSpPr>
      <xdr:spPr>
        <a:xfrm>
          <a:off x="16038195" y="74085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29</xdr:row>
      <xdr:rowOff>139065</xdr:rowOff>
    </xdr:from>
    <xdr:ext cx="184731" cy="264560"/>
    <xdr:sp macro="" textlink="">
      <xdr:nvSpPr>
        <xdr:cNvPr id="23" name="Szövegdoboz 22"/>
        <xdr:cNvSpPr txBox="1"/>
      </xdr:nvSpPr>
      <xdr:spPr>
        <a:xfrm>
          <a:off x="16038195" y="78733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30</xdr:row>
      <xdr:rowOff>139065</xdr:rowOff>
    </xdr:from>
    <xdr:ext cx="184731" cy="264560"/>
    <xdr:sp macro="" textlink="">
      <xdr:nvSpPr>
        <xdr:cNvPr id="24" name="Szövegdoboz 23"/>
        <xdr:cNvSpPr txBox="1"/>
      </xdr:nvSpPr>
      <xdr:spPr>
        <a:xfrm>
          <a:off x="16038195" y="80410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31</xdr:row>
      <xdr:rowOff>139065</xdr:rowOff>
    </xdr:from>
    <xdr:ext cx="184731" cy="264560"/>
    <xdr:sp macro="" textlink="">
      <xdr:nvSpPr>
        <xdr:cNvPr id="25" name="Szövegdoboz 24"/>
        <xdr:cNvSpPr txBox="1"/>
      </xdr:nvSpPr>
      <xdr:spPr>
        <a:xfrm>
          <a:off x="16038195" y="82086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32</xdr:row>
      <xdr:rowOff>139065</xdr:rowOff>
    </xdr:from>
    <xdr:ext cx="184731" cy="264560"/>
    <xdr:sp macro="" textlink="">
      <xdr:nvSpPr>
        <xdr:cNvPr id="26" name="Szövegdoboz 25"/>
        <xdr:cNvSpPr txBox="1"/>
      </xdr:nvSpPr>
      <xdr:spPr>
        <a:xfrm>
          <a:off x="16038195" y="837628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10</xdr:row>
      <xdr:rowOff>139065</xdr:rowOff>
    </xdr:from>
    <xdr:ext cx="184731" cy="264560"/>
    <xdr:sp macro="" textlink="">
      <xdr:nvSpPr>
        <xdr:cNvPr id="27" name="Szövegdoboz 26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11</xdr:row>
      <xdr:rowOff>139065</xdr:rowOff>
    </xdr:from>
    <xdr:ext cx="184731" cy="264560"/>
    <xdr:sp macro="" textlink="">
      <xdr:nvSpPr>
        <xdr:cNvPr id="28" name="Szövegdoboz 27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12</xdr:row>
      <xdr:rowOff>139065</xdr:rowOff>
    </xdr:from>
    <xdr:ext cx="184731" cy="264560"/>
    <xdr:sp macro="" textlink="">
      <xdr:nvSpPr>
        <xdr:cNvPr id="29" name="Szövegdoboz 28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13</xdr:row>
      <xdr:rowOff>139065</xdr:rowOff>
    </xdr:from>
    <xdr:ext cx="184731" cy="264560"/>
    <xdr:sp macro="" textlink="">
      <xdr:nvSpPr>
        <xdr:cNvPr id="30" name="Szövegdoboz 29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14</xdr:row>
      <xdr:rowOff>139065</xdr:rowOff>
    </xdr:from>
    <xdr:ext cx="184731" cy="264560"/>
    <xdr:sp macro="" textlink="">
      <xdr:nvSpPr>
        <xdr:cNvPr id="31" name="Szövegdoboz 30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15</xdr:row>
      <xdr:rowOff>139065</xdr:rowOff>
    </xdr:from>
    <xdr:ext cx="184731" cy="264560"/>
    <xdr:sp macro="" textlink="">
      <xdr:nvSpPr>
        <xdr:cNvPr id="32" name="Szövegdoboz 31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16</xdr:row>
      <xdr:rowOff>139065</xdr:rowOff>
    </xdr:from>
    <xdr:ext cx="184731" cy="264560"/>
    <xdr:sp macro="" textlink="">
      <xdr:nvSpPr>
        <xdr:cNvPr id="33" name="Szövegdoboz 32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0"/>
  <sheetViews>
    <sheetView zoomScaleNormal="100" workbookViewId="0">
      <selection activeCell="L12" sqref="L12"/>
    </sheetView>
  </sheetViews>
  <sheetFormatPr defaultRowHeight="14.25" x14ac:dyDescent="0.2"/>
  <cols>
    <col min="1" max="1" width="37.85546875" style="104" customWidth="1"/>
    <col min="2" max="2" width="17.140625" style="104" customWidth="1"/>
    <col min="3" max="3" width="15.28515625" style="104" customWidth="1"/>
    <col min="4" max="4" width="13.85546875" style="68" customWidth="1"/>
    <col min="5" max="7" width="13.42578125" style="104" customWidth="1"/>
    <col min="8" max="8" width="18" style="104" customWidth="1"/>
    <col min="9" max="9" width="17" style="118" customWidth="1"/>
    <col min="10" max="10" width="17.140625" style="156" bestFit="1" customWidth="1"/>
    <col min="11" max="11" width="12.7109375" bestFit="1" customWidth="1"/>
    <col min="12" max="12" width="16.85546875" style="452" bestFit="1" customWidth="1"/>
    <col min="13" max="13" width="11.7109375" customWidth="1"/>
    <col min="14" max="14" width="14.7109375" style="452" bestFit="1" customWidth="1"/>
  </cols>
  <sheetData>
    <row r="1" spans="1:14" ht="37.5" customHeight="1" x14ac:dyDescent="0.25">
      <c r="A1" s="897" t="s">
        <v>302</v>
      </c>
      <c r="B1" s="897"/>
      <c r="C1" s="897"/>
      <c r="D1" s="897"/>
      <c r="E1" s="897"/>
      <c r="F1" s="897"/>
      <c r="G1" s="897"/>
      <c r="H1" s="897"/>
      <c r="I1" s="897"/>
    </row>
    <row r="2" spans="1:14" ht="15" x14ac:dyDescent="0.25">
      <c r="A2" s="114"/>
      <c r="B2" s="114"/>
      <c r="C2" s="114"/>
      <c r="D2" s="652"/>
      <c r="E2" s="114"/>
      <c r="F2" s="114"/>
      <c r="G2" s="114"/>
      <c r="H2" s="114"/>
      <c r="I2" s="115"/>
    </row>
    <row r="3" spans="1:14" ht="15" x14ac:dyDescent="0.25">
      <c r="A3" s="114"/>
      <c r="B3" s="114"/>
      <c r="C3" s="114"/>
      <c r="D3" s="652"/>
      <c r="E3" s="114"/>
      <c r="F3" s="114"/>
      <c r="G3" s="114"/>
      <c r="H3" s="114"/>
      <c r="I3" s="115"/>
    </row>
    <row r="4" spans="1:14" ht="18.75" customHeight="1" thickBot="1" x14ac:dyDescent="0.25">
      <c r="A4" s="157"/>
      <c r="B4" s="157"/>
      <c r="C4" s="157"/>
      <c r="D4" s="856"/>
      <c r="E4" s="857"/>
      <c r="F4" s="857"/>
      <c r="G4" s="857"/>
      <c r="H4" s="898" t="s">
        <v>303</v>
      </c>
      <c r="I4" s="899"/>
    </row>
    <row r="5" spans="1:14" s="58" customFormat="1" ht="12" customHeight="1" x14ac:dyDescent="0.2">
      <c r="A5" s="900" t="s">
        <v>153</v>
      </c>
      <c r="B5" s="902" t="s">
        <v>515</v>
      </c>
      <c r="C5" s="902" t="s">
        <v>512</v>
      </c>
      <c r="D5" s="902" t="s">
        <v>516</v>
      </c>
      <c r="E5" s="892" t="s">
        <v>514</v>
      </c>
      <c r="F5" s="902" t="s">
        <v>517</v>
      </c>
      <c r="G5" s="902" t="s">
        <v>513</v>
      </c>
      <c r="H5" s="902" t="s">
        <v>519</v>
      </c>
      <c r="I5" s="892" t="s">
        <v>518</v>
      </c>
      <c r="J5" s="110"/>
      <c r="L5" s="110"/>
      <c r="N5" s="110"/>
    </row>
    <row r="6" spans="1:14" s="58" customFormat="1" ht="51" customHeight="1" thickBot="1" x14ac:dyDescent="0.25">
      <c r="A6" s="901"/>
      <c r="B6" s="903"/>
      <c r="C6" s="903"/>
      <c r="D6" s="903"/>
      <c r="E6" s="893"/>
      <c r="F6" s="903"/>
      <c r="G6" s="903"/>
      <c r="H6" s="903"/>
      <c r="I6" s="893"/>
      <c r="J6" s="110"/>
      <c r="L6" s="110"/>
      <c r="N6" s="110"/>
    </row>
    <row r="7" spans="1:14" s="58" customFormat="1" ht="33.75" customHeight="1" thickBot="1" x14ac:dyDescent="0.3">
      <c r="A7" s="399" t="s">
        <v>118</v>
      </c>
      <c r="B7" s="229">
        <f>B8+B16</f>
        <v>841490732</v>
      </c>
      <c r="C7" s="229">
        <f>C8+C16+C15</f>
        <v>754467396</v>
      </c>
      <c r="D7" s="229">
        <f>D8+D16</f>
        <v>4321858</v>
      </c>
      <c r="E7" s="229">
        <f>E8+E16</f>
        <v>0</v>
      </c>
      <c r="F7" s="229">
        <f>F8+F16</f>
        <v>0</v>
      </c>
      <c r="G7" s="229">
        <f>G8+G16</f>
        <v>0</v>
      </c>
      <c r="H7" s="229">
        <f t="shared" ref="H7:H12" si="0">F7+D7+B7</f>
        <v>845812590</v>
      </c>
      <c r="I7" s="398">
        <f t="shared" ref="H7:I21" si="1">G7+E7+C7</f>
        <v>754467396</v>
      </c>
      <c r="J7" s="110"/>
      <c r="L7" s="110"/>
      <c r="M7" s="110"/>
      <c r="N7" s="110"/>
    </row>
    <row r="8" spans="1:14" s="58" customFormat="1" ht="33.75" customHeight="1" x14ac:dyDescent="0.25">
      <c r="A8" s="228" t="s">
        <v>123</v>
      </c>
      <c r="B8" s="397">
        <f t="shared" ref="B8:G8" si="2">SUM(B9:B13)</f>
        <v>332965331</v>
      </c>
      <c r="C8" s="397">
        <f t="shared" si="2"/>
        <v>330516030</v>
      </c>
      <c r="D8" s="397">
        <f t="shared" si="2"/>
        <v>0</v>
      </c>
      <c r="E8" s="397">
        <f t="shared" si="2"/>
        <v>0</v>
      </c>
      <c r="F8" s="397">
        <f t="shared" si="2"/>
        <v>0</v>
      </c>
      <c r="G8" s="397">
        <f t="shared" si="2"/>
        <v>0</v>
      </c>
      <c r="H8" s="397">
        <f t="shared" si="0"/>
        <v>332965331</v>
      </c>
      <c r="I8" s="566">
        <f t="shared" si="1"/>
        <v>330516030</v>
      </c>
      <c r="J8" s="110"/>
      <c r="K8" s="110"/>
      <c r="L8" s="110"/>
      <c r="M8" s="110"/>
      <c r="N8" s="110"/>
    </row>
    <row r="9" spans="1:14" s="58" customFormat="1" ht="36" customHeight="1" x14ac:dyDescent="0.25">
      <c r="A9" s="394" t="s">
        <v>119</v>
      </c>
      <c r="B9" s="230">
        <v>237949405</v>
      </c>
      <c r="C9" s="230">
        <v>231769223</v>
      </c>
      <c r="D9" s="653">
        <v>0</v>
      </c>
      <c r="E9" s="231"/>
      <c r="F9" s="231">
        <v>0</v>
      </c>
      <c r="G9" s="265"/>
      <c r="H9" s="397">
        <f t="shared" si="0"/>
        <v>237949405</v>
      </c>
      <c r="I9" s="566">
        <f t="shared" si="1"/>
        <v>231769223</v>
      </c>
      <c r="J9" s="110"/>
      <c r="K9" s="110"/>
      <c r="L9" s="110"/>
      <c r="M9" s="110"/>
      <c r="N9" s="110"/>
    </row>
    <row r="10" spans="1:14" s="58" customFormat="1" ht="46.5" customHeight="1" x14ac:dyDescent="0.25">
      <c r="A10" s="394" t="s">
        <v>265</v>
      </c>
      <c r="B10" s="232">
        <v>74692548</v>
      </c>
      <c r="C10" s="232">
        <v>75628235</v>
      </c>
      <c r="D10" s="653">
        <v>0</v>
      </c>
      <c r="E10" s="231"/>
      <c r="F10" s="231">
        <v>0</v>
      </c>
      <c r="G10" s="265"/>
      <c r="H10" s="226">
        <f t="shared" si="0"/>
        <v>74692548</v>
      </c>
      <c r="I10" s="404">
        <f t="shared" si="1"/>
        <v>75628235</v>
      </c>
      <c r="J10" s="110"/>
      <c r="L10" s="110"/>
      <c r="M10" s="110"/>
      <c r="N10" s="110"/>
    </row>
    <row r="11" spans="1:14" s="58" customFormat="1" ht="40.5" customHeight="1" x14ac:dyDescent="0.25">
      <c r="A11" s="394" t="s">
        <v>120</v>
      </c>
      <c r="B11" s="232">
        <v>13219578</v>
      </c>
      <c r="C11" s="232">
        <v>11697918</v>
      </c>
      <c r="D11" s="654">
        <v>0</v>
      </c>
      <c r="E11" s="233"/>
      <c r="F11" s="233">
        <v>0</v>
      </c>
      <c r="G11" s="266"/>
      <c r="H11" s="226">
        <f t="shared" si="0"/>
        <v>13219578</v>
      </c>
      <c r="I11" s="404">
        <f t="shared" si="1"/>
        <v>11697918</v>
      </c>
      <c r="J11" s="110"/>
      <c r="K11" s="110"/>
      <c r="L11" s="110"/>
      <c r="M11" s="110"/>
      <c r="N11" s="110"/>
    </row>
    <row r="12" spans="1:14" s="58" customFormat="1" ht="51.75" customHeight="1" x14ac:dyDescent="0.25">
      <c r="A12" s="394" t="s">
        <v>122</v>
      </c>
      <c r="B12" s="232">
        <v>7103800</v>
      </c>
      <c r="C12" s="232"/>
      <c r="D12" s="654">
        <v>0</v>
      </c>
      <c r="E12" s="233"/>
      <c r="F12" s="233">
        <v>0</v>
      </c>
      <c r="G12" s="266"/>
      <c r="H12" s="226">
        <f t="shared" si="0"/>
        <v>7103800</v>
      </c>
      <c r="I12" s="404">
        <f t="shared" si="1"/>
        <v>0</v>
      </c>
      <c r="J12" s="110"/>
      <c r="K12" s="110"/>
      <c r="L12" s="110"/>
      <c r="M12" s="110"/>
      <c r="N12" s="110"/>
    </row>
    <row r="13" spans="1:14" s="58" customFormat="1" ht="66" customHeight="1" x14ac:dyDescent="0.25">
      <c r="A13" s="394" t="s">
        <v>121</v>
      </c>
      <c r="B13" s="232"/>
      <c r="C13" s="232">
        <v>11420654</v>
      </c>
      <c r="D13" s="654">
        <v>0</v>
      </c>
      <c r="E13" s="233"/>
      <c r="F13" s="233">
        <v>0</v>
      </c>
      <c r="G13" s="266"/>
      <c r="H13" s="226">
        <f t="shared" si="1"/>
        <v>0</v>
      </c>
      <c r="I13" s="404">
        <f t="shared" si="1"/>
        <v>11420654</v>
      </c>
      <c r="J13" s="110"/>
      <c r="K13" s="110"/>
      <c r="L13" s="110"/>
      <c r="M13" s="110"/>
      <c r="N13" s="110"/>
    </row>
    <row r="14" spans="1:14" s="195" customFormat="1" ht="66" customHeight="1" x14ac:dyDescent="0.25">
      <c r="A14" s="395" t="s">
        <v>280</v>
      </c>
      <c r="B14" s="396">
        <v>0</v>
      </c>
      <c r="C14" s="396"/>
      <c r="D14" s="655">
        <v>0</v>
      </c>
      <c r="E14" s="235"/>
      <c r="F14" s="235">
        <v>0</v>
      </c>
      <c r="G14" s="267"/>
      <c r="H14" s="336">
        <f t="shared" si="1"/>
        <v>0</v>
      </c>
      <c r="I14" s="404">
        <f t="shared" si="1"/>
        <v>0</v>
      </c>
      <c r="J14" s="110"/>
      <c r="K14" s="58"/>
      <c r="L14" s="110"/>
      <c r="M14" s="58"/>
      <c r="N14" s="110"/>
    </row>
    <row r="15" spans="1:14" s="195" customFormat="1" ht="66" customHeight="1" x14ac:dyDescent="0.25">
      <c r="A15" s="395" t="s">
        <v>319</v>
      </c>
      <c r="B15" s="234">
        <v>0</v>
      </c>
      <c r="C15" s="234"/>
      <c r="D15" s="655"/>
      <c r="E15" s="235"/>
      <c r="F15" s="235"/>
      <c r="G15" s="267"/>
      <c r="H15" s="472"/>
      <c r="I15" s="404">
        <f t="shared" si="1"/>
        <v>0</v>
      </c>
      <c r="J15" s="194"/>
      <c r="L15" s="194"/>
      <c r="N15" s="194"/>
    </row>
    <row r="16" spans="1:14" s="195" customFormat="1" ht="58.5" customHeight="1" thickBot="1" x14ac:dyDescent="0.3">
      <c r="A16" s="575" t="s">
        <v>235</v>
      </c>
      <c r="B16" s="576">
        <v>508525401</v>
      </c>
      <c r="C16" s="576">
        <v>423951366</v>
      </c>
      <c r="D16" s="656">
        <v>4321858</v>
      </c>
      <c r="E16" s="249"/>
      <c r="F16" s="249"/>
      <c r="G16" s="577"/>
      <c r="H16" s="569">
        <f>F16+D16+B16</f>
        <v>512847259</v>
      </c>
      <c r="I16" s="570">
        <f t="shared" si="1"/>
        <v>423951366</v>
      </c>
      <c r="J16" s="194"/>
      <c r="L16" s="194"/>
      <c r="N16" s="194"/>
    </row>
    <row r="17" spans="1:17" s="197" customFormat="1" ht="41.25" customHeight="1" thickBot="1" x14ac:dyDescent="0.3">
      <c r="A17" s="227" t="s">
        <v>124</v>
      </c>
      <c r="B17" s="572">
        <f t="shared" ref="B17:G17" si="3">SUM(B18:B20)</f>
        <v>123473215</v>
      </c>
      <c r="C17" s="573">
        <f t="shared" si="3"/>
        <v>200883155</v>
      </c>
      <c r="D17" s="573">
        <f t="shared" si="3"/>
        <v>0</v>
      </c>
      <c r="E17" s="573">
        <f t="shared" si="3"/>
        <v>0</v>
      </c>
      <c r="F17" s="573">
        <f t="shared" si="3"/>
        <v>0</v>
      </c>
      <c r="G17" s="573">
        <f t="shared" si="3"/>
        <v>0</v>
      </c>
      <c r="H17" s="573">
        <f>F17+D17+B17</f>
        <v>123473215</v>
      </c>
      <c r="I17" s="574">
        <f t="shared" si="1"/>
        <v>200883155</v>
      </c>
      <c r="J17" s="194"/>
      <c r="K17" s="195"/>
      <c r="L17" s="194"/>
      <c r="M17" s="195"/>
      <c r="N17" s="194"/>
    </row>
    <row r="18" spans="1:17" s="58" customFormat="1" ht="43.5" x14ac:dyDescent="0.25">
      <c r="A18" s="228" t="s">
        <v>192</v>
      </c>
      <c r="B18" s="230"/>
      <c r="C18" s="230"/>
      <c r="D18" s="230">
        <v>0</v>
      </c>
      <c r="E18" s="231"/>
      <c r="F18" s="231">
        <v>0</v>
      </c>
      <c r="G18" s="231"/>
      <c r="H18" s="397">
        <f>F18+D18+B18</f>
        <v>0</v>
      </c>
      <c r="I18" s="397">
        <f>G18+E18+C18</f>
        <v>0</v>
      </c>
      <c r="J18" s="196"/>
      <c r="K18" s="197"/>
      <c r="L18" s="196"/>
      <c r="M18" s="197"/>
      <c r="N18" s="196"/>
    </row>
    <row r="19" spans="1:17" s="58" customFormat="1" ht="57.75" x14ac:dyDescent="0.25">
      <c r="A19" s="881" t="s">
        <v>567</v>
      </c>
      <c r="B19" s="879">
        <v>94489</v>
      </c>
      <c r="C19" s="879"/>
      <c r="D19" s="879"/>
      <c r="E19" s="880"/>
      <c r="F19" s="880"/>
      <c r="G19" s="880"/>
      <c r="H19" s="397">
        <f>F19+D19+B19</f>
        <v>94489</v>
      </c>
      <c r="I19" s="397">
        <f>G19+E19+C19</f>
        <v>0</v>
      </c>
      <c r="J19" s="196"/>
      <c r="K19" s="197"/>
      <c r="L19" s="196"/>
      <c r="M19" s="197"/>
      <c r="N19" s="196"/>
    </row>
    <row r="20" spans="1:17" s="58" customFormat="1" ht="48.75" customHeight="1" thickBot="1" x14ac:dyDescent="0.3">
      <c r="A20" s="400" t="s">
        <v>125</v>
      </c>
      <c r="B20" s="237">
        <v>123378726</v>
      </c>
      <c r="C20" s="237">
        <v>200883155</v>
      </c>
      <c r="D20" s="237">
        <v>0</v>
      </c>
      <c r="E20" s="238"/>
      <c r="F20" s="238">
        <v>0</v>
      </c>
      <c r="G20" s="238"/>
      <c r="H20" s="236">
        <f>F20+D20+B20</f>
        <v>123378726</v>
      </c>
      <c r="I20" s="236">
        <f>G20+E20+C20</f>
        <v>200883155</v>
      </c>
      <c r="J20" s="110"/>
      <c r="L20" s="110"/>
      <c r="N20" s="110"/>
    </row>
    <row r="21" spans="1:17" s="159" customFormat="1" ht="45" customHeight="1" thickBot="1" x14ac:dyDescent="0.3">
      <c r="A21" s="399" t="s">
        <v>111</v>
      </c>
      <c r="B21" s="580">
        <f t="shared" ref="B21:G21" si="4">B23+B24+B27+B22</f>
        <v>135920173</v>
      </c>
      <c r="C21" s="580">
        <f t="shared" si="4"/>
        <v>135921000</v>
      </c>
      <c r="D21" s="580">
        <f t="shared" si="4"/>
        <v>0</v>
      </c>
      <c r="E21" s="580">
        <f t="shared" si="4"/>
        <v>0</v>
      </c>
      <c r="F21" s="580">
        <f t="shared" si="4"/>
        <v>0</v>
      </c>
      <c r="G21" s="580">
        <f t="shared" si="4"/>
        <v>0</v>
      </c>
      <c r="H21" s="229">
        <f t="shared" ref="H21:I32" si="5">F21+D21+B21</f>
        <v>135920173</v>
      </c>
      <c r="I21" s="398">
        <f t="shared" si="1"/>
        <v>135921000</v>
      </c>
      <c r="J21" s="110"/>
      <c r="K21" s="58"/>
      <c r="L21" s="110"/>
      <c r="M21" s="58"/>
      <c r="N21" s="110"/>
    </row>
    <row r="22" spans="1:17" s="159" customFormat="1" ht="45" customHeight="1" x14ac:dyDescent="0.25">
      <c r="A22" s="448" t="s">
        <v>304</v>
      </c>
      <c r="B22" s="587">
        <v>0</v>
      </c>
      <c r="C22" s="588"/>
      <c r="D22" s="588">
        <v>0</v>
      </c>
      <c r="E22" s="588"/>
      <c r="F22" s="588">
        <v>0</v>
      </c>
      <c r="G22" s="588"/>
      <c r="H22" s="402">
        <f t="shared" si="5"/>
        <v>0</v>
      </c>
      <c r="I22" s="403"/>
      <c r="J22" s="158"/>
      <c r="L22" s="158"/>
      <c r="N22" s="158"/>
    </row>
    <row r="23" spans="1:17" s="195" customFormat="1" ht="36" customHeight="1" x14ac:dyDescent="0.25">
      <c r="A23" s="449" t="s">
        <v>112</v>
      </c>
      <c r="B23" s="589">
        <v>17239331</v>
      </c>
      <c r="C23" s="578">
        <v>17240000</v>
      </c>
      <c r="D23" s="657">
        <v>0</v>
      </c>
      <c r="E23" s="579"/>
      <c r="F23" s="579">
        <v>0</v>
      </c>
      <c r="G23" s="579"/>
      <c r="H23" s="397">
        <f t="shared" si="5"/>
        <v>17239331</v>
      </c>
      <c r="I23" s="566">
        <f t="shared" si="5"/>
        <v>17240000</v>
      </c>
      <c r="J23" s="158"/>
      <c r="K23" s="159"/>
      <c r="L23" s="158"/>
      <c r="M23" s="159"/>
      <c r="N23" s="158"/>
    </row>
    <row r="24" spans="1:17" s="195" customFormat="1" ht="46.5" customHeight="1" x14ac:dyDescent="0.25">
      <c r="A24" s="449" t="s">
        <v>113</v>
      </c>
      <c r="B24" s="239">
        <v>110161256</v>
      </c>
      <c r="C24" s="239">
        <f>SUM(C25:C26)</f>
        <v>110161000</v>
      </c>
      <c r="D24" s="239">
        <f>SUM(D25:D26)</f>
        <v>0</v>
      </c>
      <c r="E24" s="239">
        <f>SUM(E25:E26)</f>
        <v>0</v>
      </c>
      <c r="F24" s="239">
        <v>0</v>
      </c>
      <c r="G24" s="239">
        <f>SUM(G25:G26)</f>
        <v>0</v>
      </c>
      <c r="H24" s="226">
        <f t="shared" si="5"/>
        <v>110161256</v>
      </c>
      <c r="I24" s="404">
        <f t="shared" si="5"/>
        <v>110161000</v>
      </c>
      <c r="J24" s="194"/>
      <c r="L24" s="194"/>
      <c r="N24" s="194"/>
    </row>
    <row r="25" spans="1:17" s="195" customFormat="1" ht="67.5" customHeight="1" x14ac:dyDescent="0.25">
      <c r="A25" s="450" t="s">
        <v>114</v>
      </c>
      <c r="B25" s="590">
        <v>110161256</v>
      </c>
      <c r="C25" s="239">
        <v>110161000</v>
      </c>
      <c r="D25" s="239">
        <v>0</v>
      </c>
      <c r="E25" s="401"/>
      <c r="F25" s="401">
        <v>0</v>
      </c>
      <c r="G25" s="401"/>
      <c r="H25" s="226">
        <f>F25+D25+B25</f>
        <v>110161256</v>
      </c>
      <c r="I25" s="404">
        <f t="shared" si="5"/>
        <v>110161000</v>
      </c>
      <c r="J25" s="194"/>
      <c r="L25" s="194"/>
      <c r="N25" s="194"/>
    </row>
    <row r="26" spans="1:17" s="58" customFormat="1" ht="24.75" customHeight="1" thickBot="1" x14ac:dyDescent="0.3">
      <c r="A26" s="450" t="s">
        <v>115</v>
      </c>
      <c r="B26" s="468"/>
      <c r="C26" s="470"/>
      <c r="D26" s="470">
        <v>0</v>
      </c>
      <c r="E26" s="246"/>
      <c r="F26" s="246">
        <v>0</v>
      </c>
      <c r="G26" s="246"/>
      <c r="H26" s="569">
        <f t="shared" si="5"/>
        <v>0</v>
      </c>
      <c r="I26" s="570">
        <f t="shared" si="5"/>
        <v>0</v>
      </c>
      <c r="J26" s="194"/>
      <c r="K26" s="195"/>
      <c r="L26" s="194"/>
      <c r="M26" s="195"/>
      <c r="N26" s="194"/>
    </row>
    <row r="27" spans="1:17" s="195" customFormat="1" ht="44.25" thickBot="1" x14ac:dyDescent="0.3">
      <c r="A27" s="451" t="s">
        <v>349</v>
      </c>
      <c r="B27" s="581">
        <v>8519586</v>
      </c>
      <c r="C27" s="582">
        <v>8520000</v>
      </c>
      <c r="D27" s="582">
        <v>0</v>
      </c>
      <c r="E27" s="583"/>
      <c r="F27" s="584">
        <v>0</v>
      </c>
      <c r="G27" s="584"/>
      <c r="H27" s="585">
        <f>F27+D27+B27</f>
        <v>8519586</v>
      </c>
      <c r="I27" s="586">
        <f>G27+E27+C27</f>
        <v>8520000</v>
      </c>
      <c r="J27" s="110"/>
      <c r="K27" s="58"/>
      <c r="L27" s="110"/>
      <c r="M27" s="58"/>
      <c r="N27" s="110"/>
    </row>
    <row r="28" spans="1:17" s="58" customFormat="1" ht="38.25" customHeight="1" thickBot="1" x14ac:dyDescent="0.3">
      <c r="A28" s="227" t="s">
        <v>116</v>
      </c>
      <c r="B28" s="626">
        <v>150004266</v>
      </c>
      <c r="C28" s="229">
        <v>142469000</v>
      </c>
      <c r="D28" s="229">
        <v>399762</v>
      </c>
      <c r="E28" s="229">
        <v>408000</v>
      </c>
      <c r="F28" s="229">
        <v>1105152</v>
      </c>
      <c r="G28" s="229">
        <v>935000</v>
      </c>
      <c r="H28" s="229">
        <f>B28+D28+F28</f>
        <v>151509180</v>
      </c>
      <c r="I28" s="398">
        <f t="shared" si="5"/>
        <v>143812000</v>
      </c>
      <c r="J28" s="194"/>
      <c r="K28" s="195"/>
      <c r="L28" s="194"/>
      <c r="M28" s="195"/>
      <c r="N28" s="194"/>
    </row>
    <row r="29" spans="1:17" ht="32.25" customHeight="1" thickBot="1" x14ac:dyDescent="0.3">
      <c r="A29" s="227" t="s">
        <v>117</v>
      </c>
      <c r="B29" s="571">
        <v>6337573</v>
      </c>
      <c r="C29" s="229">
        <v>1539000</v>
      </c>
      <c r="D29" s="229">
        <v>3937</v>
      </c>
      <c r="E29" s="405"/>
      <c r="F29" s="405"/>
      <c r="G29" s="405"/>
      <c r="H29" s="229">
        <f>B29+D29+F29</f>
        <v>6341510</v>
      </c>
      <c r="I29" s="398">
        <f>G29+E29+C29</f>
        <v>1539000</v>
      </c>
      <c r="J29" s="110"/>
      <c r="K29" s="58"/>
      <c r="L29" s="110"/>
      <c r="M29" s="58"/>
      <c r="N29" s="110"/>
    </row>
    <row r="30" spans="1:17" ht="32.25" customHeight="1" thickBot="1" x14ac:dyDescent="0.3">
      <c r="A30" s="227" t="s">
        <v>135</v>
      </c>
      <c r="B30" s="571">
        <v>1982105</v>
      </c>
      <c r="C30" s="229">
        <v>21755816</v>
      </c>
      <c r="D30" s="229"/>
      <c r="E30" s="405"/>
      <c r="F30" s="405"/>
      <c r="G30" s="406"/>
      <c r="H30" s="229">
        <f>B30+D30+F30</f>
        <v>1982105</v>
      </c>
      <c r="I30" s="398">
        <f>G30+E30+C30</f>
        <v>21755816</v>
      </c>
    </row>
    <row r="31" spans="1:17" s="58" customFormat="1" ht="48.75" customHeight="1" thickBot="1" x14ac:dyDescent="0.3">
      <c r="A31" s="227" t="s">
        <v>126</v>
      </c>
      <c r="B31" s="571"/>
      <c r="C31" s="229"/>
      <c r="D31" s="229">
        <f>SUM(D32:D33)</f>
        <v>0</v>
      </c>
      <c r="E31" s="229">
        <f>SUM(E32:E33)</f>
        <v>0</v>
      </c>
      <c r="F31" s="229">
        <f>SUM(F32:F33)</f>
        <v>0</v>
      </c>
      <c r="G31" s="229">
        <f>SUM(G32:G33)</f>
        <v>0</v>
      </c>
      <c r="H31" s="229">
        <f>F31+D31+B31</f>
        <v>0</v>
      </c>
      <c r="I31" s="398">
        <f t="shared" si="5"/>
        <v>0</v>
      </c>
      <c r="J31" s="156"/>
      <c r="K31"/>
      <c r="L31" s="452"/>
      <c r="M31"/>
      <c r="N31" s="452"/>
    </row>
    <row r="32" spans="1:17" s="58" customFormat="1" ht="63.75" customHeight="1" x14ac:dyDescent="0.25">
      <c r="A32" s="561" t="s">
        <v>284</v>
      </c>
      <c r="B32" s="562">
        <v>0</v>
      </c>
      <c r="C32" s="562"/>
      <c r="D32" s="562">
        <v>0</v>
      </c>
      <c r="E32" s="563"/>
      <c r="F32" s="563"/>
      <c r="G32" s="564"/>
      <c r="H32" s="402">
        <f>F32+D32+B32</f>
        <v>0</v>
      </c>
      <c r="I32" s="403">
        <f t="shared" si="5"/>
        <v>0</v>
      </c>
      <c r="J32" s="110"/>
      <c r="L32" s="110"/>
      <c r="N32" s="110"/>
      <c r="Q32" s="393"/>
    </row>
    <row r="33" spans="1:14" s="58" customFormat="1" ht="48.75" customHeight="1" x14ac:dyDescent="0.25">
      <c r="A33" s="565" t="s">
        <v>285</v>
      </c>
      <c r="B33" s="232">
        <v>0</v>
      </c>
      <c r="C33" s="232"/>
      <c r="D33" s="232">
        <v>0</v>
      </c>
      <c r="E33" s="233"/>
      <c r="F33" s="233"/>
      <c r="G33" s="265"/>
      <c r="H33" s="226">
        <f>F33+D33+B33</f>
        <v>0</v>
      </c>
      <c r="I33" s="566">
        <f t="shared" ref="I33:I34" si="6">G33+E33+C33</f>
        <v>0</v>
      </c>
      <c r="J33" s="110"/>
      <c r="L33" s="731"/>
      <c r="N33" s="110"/>
    </row>
    <row r="34" spans="1:14" s="68" customFormat="1" ht="40.5" customHeight="1" thickBot="1" x14ac:dyDescent="0.3">
      <c r="A34" s="241" t="s">
        <v>136</v>
      </c>
      <c r="B34" s="567">
        <f t="shared" ref="B34:G34" si="7">B7+B17+B21+B31+B30+B28+B29</f>
        <v>1259208064</v>
      </c>
      <c r="C34" s="567">
        <f t="shared" si="7"/>
        <v>1257035367</v>
      </c>
      <c r="D34" s="573">
        <f t="shared" si="7"/>
        <v>4725557</v>
      </c>
      <c r="E34" s="567">
        <f t="shared" si="7"/>
        <v>408000</v>
      </c>
      <c r="F34" s="567">
        <f t="shared" si="7"/>
        <v>1105152</v>
      </c>
      <c r="G34" s="568">
        <f t="shared" si="7"/>
        <v>935000</v>
      </c>
      <c r="H34" s="569">
        <f>F34+D34+B34</f>
        <v>1265038773</v>
      </c>
      <c r="I34" s="570">
        <f t="shared" si="6"/>
        <v>1258378367</v>
      </c>
      <c r="J34" s="110"/>
      <c r="K34" s="393"/>
      <c r="L34" s="110"/>
      <c r="M34" s="58"/>
      <c r="N34" s="110"/>
    </row>
    <row r="35" spans="1:14" s="68" customFormat="1" ht="21.75" customHeight="1" thickBot="1" x14ac:dyDescent="0.3">
      <c r="A35" s="894" t="s">
        <v>134</v>
      </c>
      <c r="B35" s="895"/>
      <c r="C35" s="895"/>
      <c r="D35" s="895"/>
      <c r="E35" s="895"/>
      <c r="F35" s="895"/>
      <c r="G35" s="895"/>
      <c r="H35" s="895"/>
      <c r="I35" s="896"/>
      <c r="J35" s="482"/>
      <c r="L35" s="484"/>
      <c r="N35" s="484"/>
    </row>
    <row r="36" spans="1:14" ht="46.5" customHeight="1" thickBot="1" x14ac:dyDescent="0.3">
      <c r="A36" s="242" t="s">
        <v>133</v>
      </c>
      <c r="B36" s="240">
        <f>B37</f>
        <v>165763845</v>
      </c>
      <c r="C36" s="473">
        <f>C37</f>
        <v>186870348</v>
      </c>
      <c r="D36" s="658">
        <f>D37+D45</f>
        <v>183378411</v>
      </c>
      <c r="E36" s="240">
        <f>E37+E45</f>
        <v>224889890</v>
      </c>
      <c r="F36" s="240">
        <f>F37+F45</f>
        <v>15193825</v>
      </c>
      <c r="G36" s="240">
        <f>G37+G45</f>
        <v>20776200</v>
      </c>
      <c r="H36" s="116">
        <f>H37</f>
        <v>364336081</v>
      </c>
      <c r="I36" s="116">
        <f>I37</f>
        <v>432536438</v>
      </c>
      <c r="J36" s="482"/>
      <c r="K36" s="866"/>
      <c r="L36" s="484"/>
      <c r="M36" s="68"/>
      <c r="N36" s="484"/>
    </row>
    <row r="37" spans="1:14" s="83" customFormat="1" ht="33" customHeight="1" thickBot="1" x14ac:dyDescent="0.3">
      <c r="A37" s="419" t="s">
        <v>127</v>
      </c>
      <c r="B37" s="411">
        <f>B38+B41+B46+B45+B44</f>
        <v>165763845</v>
      </c>
      <c r="C37" s="411">
        <f>C38+C41+C46+C45+C44</f>
        <v>186870348</v>
      </c>
      <c r="D37" s="659">
        <f>D38+D41+D46+D44</f>
        <v>183378411</v>
      </c>
      <c r="E37" s="243">
        <f>E38+E41+E46+E44</f>
        <v>224889890</v>
      </c>
      <c r="F37" s="243">
        <f>F38+F41+F46+F44</f>
        <v>15193825</v>
      </c>
      <c r="G37" s="412">
        <f>G38+G41+G46+G44</f>
        <v>20776200</v>
      </c>
      <c r="H37" s="408">
        <f t="shared" ref="H37:I45" si="8">D37+B37+F37</f>
        <v>364336081</v>
      </c>
      <c r="I37" s="409">
        <f>E37+C37+G37</f>
        <v>432536438</v>
      </c>
      <c r="J37" s="156"/>
      <c r="K37" s="2"/>
      <c r="L37" s="2"/>
      <c r="M37" s="2"/>
      <c r="N37" s="452"/>
    </row>
    <row r="38" spans="1:14" ht="33" customHeight="1" thickBot="1" x14ac:dyDescent="0.3">
      <c r="A38" s="250" t="s">
        <v>128</v>
      </c>
      <c r="B38" s="418"/>
      <c r="C38" s="418">
        <f t="shared" ref="C38:G38" si="9">SUM(C39:C40)</f>
        <v>0</v>
      </c>
      <c r="D38" s="598">
        <f t="shared" si="9"/>
        <v>0</v>
      </c>
      <c r="E38" s="244">
        <f t="shared" si="9"/>
        <v>0</v>
      </c>
      <c r="F38" s="244">
        <f t="shared" si="9"/>
        <v>0</v>
      </c>
      <c r="G38" s="414">
        <f t="shared" si="9"/>
        <v>0</v>
      </c>
      <c r="H38" s="407">
        <f t="shared" si="8"/>
        <v>0</v>
      </c>
      <c r="I38" s="555">
        <f t="shared" si="8"/>
        <v>0</v>
      </c>
      <c r="J38" s="198"/>
      <c r="K38" s="83"/>
      <c r="L38" s="198"/>
      <c r="M38" s="83"/>
      <c r="N38" s="198"/>
    </row>
    <row r="39" spans="1:14" ht="33" customHeight="1" thickBot="1" x14ac:dyDescent="0.3">
      <c r="A39" s="420" t="s">
        <v>236</v>
      </c>
      <c r="B39" s="413"/>
      <c r="C39" s="244"/>
      <c r="D39" s="598"/>
      <c r="E39" s="244"/>
      <c r="F39" s="245">
        <v>0</v>
      </c>
      <c r="G39" s="415"/>
      <c r="H39" s="407">
        <f t="shared" si="8"/>
        <v>0</v>
      </c>
      <c r="I39" s="555">
        <f t="shared" si="8"/>
        <v>0</v>
      </c>
      <c r="J39" s="452"/>
    </row>
    <row r="40" spans="1:14" ht="33" customHeight="1" thickBot="1" x14ac:dyDescent="0.3">
      <c r="A40" s="410" t="s">
        <v>357</v>
      </c>
      <c r="B40" s="413"/>
      <c r="C40" s="244"/>
      <c r="D40" s="598">
        <v>0</v>
      </c>
      <c r="E40" s="244"/>
      <c r="F40" s="245">
        <v>0</v>
      </c>
      <c r="G40" s="415"/>
      <c r="H40" s="407">
        <f t="shared" si="8"/>
        <v>0</v>
      </c>
      <c r="I40" s="193">
        <f t="shared" si="8"/>
        <v>0</v>
      </c>
    </row>
    <row r="41" spans="1:14" s="83" customFormat="1" ht="33" customHeight="1" thickBot="1" x14ac:dyDescent="0.3">
      <c r="A41" s="559" t="s">
        <v>129</v>
      </c>
      <c r="B41" s="401">
        <f>SUM(B42:B43)</f>
        <v>151665908</v>
      </c>
      <c r="C41" s="401">
        <f>SUM(C42:C43)</f>
        <v>174596133</v>
      </c>
      <c r="D41" s="401">
        <f>SUM(D42:D43)</f>
        <v>382188</v>
      </c>
      <c r="E41" s="401">
        <f>SUM(E42:E43)</f>
        <v>256000</v>
      </c>
      <c r="F41" s="401">
        <f>SUM(F42:F43)</f>
        <v>192097</v>
      </c>
      <c r="G41" s="558">
        <f>SUM(G42:G43)+G45</f>
        <v>194000</v>
      </c>
      <c r="H41" s="116">
        <f t="shared" si="8"/>
        <v>152240193</v>
      </c>
      <c r="I41" s="193">
        <f t="shared" si="8"/>
        <v>175046133</v>
      </c>
      <c r="J41" s="156"/>
      <c r="K41"/>
      <c r="L41" s="452"/>
      <c r="M41"/>
      <c r="N41" s="452"/>
    </row>
    <row r="42" spans="1:14" s="199" customFormat="1" ht="33" customHeight="1" thickBot="1" x14ac:dyDescent="0.3">
      <c r="A42" s="410" t="s">
        <v>131</v>
      </c>
      <c r="B42" s="467">
        <f>111062026-53304175</f>
        <v>57757851</v>
      </c>
      <c r="C42" s="598">
        <v>51891113</v>
      </c>
      <c r="D42" s="469">
        <v>382188</v>
      </c>
      <c r="E42" s="247">
        <v>256000</v>
      </c>
      <c r="F42" s="248">
        <v>192097</v>
      </c>
      <c r="G42" s="416">
        <v>194000</v>
      </c>
      <c r="H42" s="407">
        <f t="shared" si="8"/>
        <v>58332136</v>
      </c>
      <c r="I42" s="193">
        <f t="shared" si="8"/>
        <v>52341113</v>
      </c>
      <c r="J42" s="198"/>
      <c r="K42" s="83"/>
      <c r="L42" s="198"/>
      <c r="M42" s="83"/>
      <c r="N42" s="198"/>
    </row>
    <row r="43" spans="1:14" ht="36.75" customHeight="1" thickBot="1" x14ac:dyDescent="0.3">
      <c r="A43" s="410" t="s">
        <v>130</v>
      </c>
      <c r="B43" s="468">
        <f>40603882+53304175</f>
        <v>93908057</v>
      </c>
      <c r="C43" s="470">
        <v>122705020</v>
      </c>
      <c r="D43" s="470"/>
      <c r="E43" s="246">
        <v>0</v>
      </c>
      <c r="F43" s="249">
        <v>0</v>
      </c>
      <c r="G43" s="417"/>
      <c r="H43" s="407">
        <f t="shared" si="8"/>
        <v>93908057</v>
      </c>
      <c r="I43" s="116">
        <f t="shared" si="8"/>
        <v>122705020</v>
      </c>
      <c r="J43" s="858"/>
      <c r="K43" s="199"/>
      <c r="L43" s="730"/>
      <c r="M43" s="199"/>
      <c r="N43" s="730"/>
    </row>
    <row r="44" spans="1:14" s="83" customFormat="1" ht="36.75" customHeight="1" thickBot="1" x14ac:dyDescent="0.3">
      <c r="A44" s="559" t="s">
        <v>238</v>
      </c>
      <c r="B44" s="310">
        <v>0</v>
      </c>
      <c r="C44" s="311"/>
      <c r="D44" s="660">
        <v>0</v>
      </c>
      <c r="E44" s="311"/>
      <c r="F44" s="308">
        <v>0</v>
      </c>
      <c r="G44" s="309"/>
      <c r="H44" s="116">
        <f t="shared" si="8"/>
        <v>0</v>
      </c>
      <c r="I44" s="116">
        <f t="shared" si="8"/>
        <v>0</v>
      </c>
      <c r="J44" s="452"/>
      <c r="K44"/>
      <c r="L44" s="452"/>
      <c r="M44"/>
      <c r="N44" s="452"/>
    </row>
    <row r="45" spans="1:14" s="83" customFormat="1" ht="36.75" customHeight="1" thickBot="1" x14ac:dyDescent="0.3">
      <c r="A45" s="559" t="s">
        <v>266</v>
      </c>
      <c r="B45" s="560">
        <v>14097937</v>
      </c>
      <c r="C45" s="311">
        <v>12274215</v>
      </c>
      <c r="D45" s="660"/>
      <c r="E45" s="311"/>
      <c r="F45" s="308"/>
      <c r="G45" s="309"/>
      <c r="H45" s="116">
        <f t="shared" si="8"/>
        <v>14097937</v>
      </c>
      <c r="I45" s="116">
        <f t="shared" si="8"/>
        <v>12274215</v>
      </c>
      <c r="J45" s="198"/>
      <c r="L45" s="198"/>
      <c r="N45" s="198"/>
    </row>
    <row r="46" spans="1:14" ht="33" customHeight="1" thickBot="1" x14ac:dyDescent="0.3">
      <c r="A46" s="250" t="s">
        <v>132</v>
      </c>
      <c r="B46" s="251"/>
      <c r="C46" s="252"/>
      <c r="D46" s="661">
        <v>182996223</v>
      </c>
      <c r="E46" s="253">
        <v>224633890</v>
      </c>
      <c r="F46" s="890">
        <v>15001728</v>
      </c>
      <c r="G46" s="254">
        <v>20582200</v>
      </c>
      <c r="H46" s="116">
        <f>D46+B46+F46</f>
        <v>197997951</v>
      </c>
      <c r="I46" s="116">
        <f>E46+C46+G46</f>
        <v>245216090</v>
      </c>
      <c r="J46" s="198"/>
      <c r="K46" s="83"/>
      <c r="L46" s="198"/>
      <c r="M46" s="83"/>
      <c r="N46" s="198"/>
    </row>
    <row r="47" spans="1:14" x14ac:dyDescent="0.2">
      <c r="H47" s="117"/>
    </row>
    <row r="48" spans="1:14" x14ac:dyDescent="0.2">
      <c r="C48" s="117"/>
      <c r="I48" s="119"/>
    </row>
    <row r="49" spans="3:6" x14ac:dyDescent="0.2">
      <c r="C49" s="117"/>
    </row>
    <row r="50" spans="3:6" x14ac:dyDescent="0.2">
      <c r="D50" s="866"/>
      <c r="E50" s="117"/>
      <c r="F50" s="117"/>
    </row>
  </sheetData>
  <mergeCells count="12">
    <mergeCell ref="I5:I6"/>
    <mergeCell ref="A35:I35"/>
    <mergeCell ref="A1:I1"/>
    <mergeCell ref="H4:I4"/>
    <mergeCell ref="A5:A6"/>
    <mergeCell ref="B5:B6"/>
    <mergeCell ref="C5:C6"/>
    <mergeCell ref="D5:D6"/>
    <mergeCell ref="E5:E6"/>
    <mergeCell ref="F5:F6"/>
    <mergeCell ref="G5:G6"/>
    <mergeCell ref="H5:H6"/>
  </mergeCells>
  <pageMargins left="0.98425196850393704" right="0.19685039370078741" top="0.47244094488188981" bottom="0.39370078740157483" header="0.51181102362204722" footer="0.51181102362204722"/>
  <pageSetup paperSize="9" scale="43" orientation="portrait" r:id="rId1"/>
  <headerFooter alignWithMargins="0">
    <oddHeader>&amp;R2.sz. melléklet
..../2025.(II.13.) Egyek Önk.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38"/>
  <sheetViews>
    <sheetView topLeftCell="A7" zoomScaleNormal="100" workbookViewId="0">
      <selection activeCell="K17" sqref="K17"/>
    </sheetView>
  </sheetViews>
  <sheetFormatPr defaultRowHeight="12.75" x14ac:dyDescent="0.2"/>
  <cols>
    <col min="1" max="1" width="40.7109375" customWidth="1"/>
    <col min="2" max="2" width="16.28515625" bestFit="1" customWidth="1"/>
    <col min="3" max="3" width="20.140625" customWidth="1"/>
    <col min="4" max="4" width="16.7109375" customWidth="1"/>
    <col min="5" max="5" width="14.7109375" customWidth="1"/>
    <col min="6" max="6" width="15.5703125" customWidth="1"/>
    <col min="7" max="7" width="14.7109375" customWidth="1"/>
    <col min="8" max="8" width="18.7109375" customWidth="1"/>
    <col min="9" max="9" width="17.85546875" customWidth="1"/>
    <col min="10" max="10" width="11.7109375" customWidth="1"/>
    <col min="11" max="11" width="17.42578125" customWidth="1"/>
  </cols>
  <sheetData>
    <row r="2" spans="1:19" ht="26.25" customHeight="1" x14ac:dyDescent="0.25">
      <c r="A2" s="948" t="s">
        <v>511</v>
      </c>
      <c r="B2" s="948"/>
      <c r="C2" s="948"/>
      <c r="D2" s="948"/>
      <c r="E2" s="948"/>
      <c r="F2" s="948"/>
      <c r="G2" s="948"/>
      <c r="H2" s="948"/>
      <c r="I2" s="948"/>
      <c r="J2" s="188"/>
      <c r="K2" s="188"/>
      <c r="L2" s="21"/>
      <c r="M2" s="21"/>
      <c r="N2" s="21"/>
      <c r="O2" s="21"/>
      <c r="P2" s="21"/>
      <c r="Q2" s="21"/>
      <c r="R2" s="21"/>
      <c r="S2" s="21"/>
    </row>
    <row r="3" spans="1:19" ht="15.75" x14ac:dyDescent="0.25">
      <c r="A3" s="188"/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21"/>
      <c r="M3" s="21"/>
      <c r="N3" s="21"/>
      <c r="O3" s="21"/>
      <c r="P3" s="21"/>
      <c r="Q3" s="21"/>
      <c r="R3" s="21"/>
      <c r="S3" s="21"/>
    </row>
    <row r="4" spans="1:19" ht="15.75" x14ac:dyDescent="0.25">
      <c r="A4" s="851"/>
      <c r="B4" s="851"/>
      <c r="C4" s="851"/>
      <c r="D4" s="851"/>
      <c r="E4" s="851"/>
      <c r="F4" s="851"/>
      <c r="G4" s="851"/>
      <c r="H4" s="851"/>
      <c r="I4" s="851"/>
      <c r="J4" s="851"/>
      <c r="K4" s="851"/>
      <c r="L4" s="21"/>
      <c r="M4" s="21"/>
      <c r="N4" s="21"/>
      <c r="O4" s="21"/>
      <c r="P4" s="21"/>
      <c r="Q4" s="21"/>
      <c r="R4" s="21"/>
      <c r="S4" s="21"/>
    </row>
    <row r="5" spans="1:19" ht="16.5" thickBot="1" x14ac:dyDescent="0.3">
      <c r="A5" s="21"/>
      <c r="B5" s="21"/>
      <c r="C5" s="21"/>
      <c r="D5" s="21"/>
      <c r="E5" s="21"/>
      <c r="F5" s="21"/>
      <c r="G5" s="21"/>
      <c r="H5" s="25"/>
      <c r="I5" s="453" t="s">
        <v>305</v>
      </c>
      <c r="J5" s="25"/>
      <c r="K5" s="25"/>
      <c r="L5" s="21"/>
      <c r="M5" s="21"/>
      <c r="N5" s="21"/>
      <c r="O5" s="21"/>
      <c r="P5" s="21"/>
      <c r="Q5" s="21"/>
      <c r="R5" s="21"/>
      <c r="S5" s="21"/>
    </row>
    <row r="6" spans="1:19" ht="16.5" thickBot="1" x14ac:dyDescent="0.3">
      <c r="A6" s="24"/>
      <c r="B6" s="108"/>
      <c r="C6" s="108"/>
      <c r="D6" s="949" t="s">
        <v>72</v>
      </c>
      <c r="E6" s="950"/>
      <c r="F6" s="950"/>
      <c r="G6" s="950"/>
      <c r="H6" s="950"/>
      <c r="I6" s="951"/>
      <c r="J6" s="61"/>
      <c r="K6" s="61"/>
      <c r="L6" s="21"/>
      <c r="M6" s="21"/>
      <c r="N6" s="21"/>
      <c r="O6" s="21"/>
      <c r="P6" s="21"/>
      <c r="Q6" s="21"/>
      <c r="R6" s="21"/>
      <c r="S6" s="21"/>
    </row>
    <row r="7" spans="1:19" ht="12.75" customHeight="1" x14ac:dyDescent="0.2">
      <c r="A7" s="952" t="s">
        <v>154</v>
      </c>
      <c r="B7" s="902" t="s">
        <v>515</v>
      </c>
      <c r="C7" s="902" t="s">
        <v>512</v>
      </c>
      <c r="D7" s="902" t="s">
        <v>516</v>
      </c>
      <c r="E7" s="892" t="s">
        <v>514</v>
      </c>
      <c r="F7" s="902" t="s">
        <v>517</v>
      </c>
      <c r="G7" s="902" t="s">
        <v>513</v>
      </c>
      <c r="H7" s="902" t="s">
        <v>519</v>
      </c>
      <c r="I7" s="892" t="s">
        <v>518</v>
      </c>
      <c r="J7" s="20"/>
    </row>
    <row r="8" spans="1:19" ht="43.5" customHeight="1" thickBot="1" x14ac:dyDescent="0.25">
      <c r="A8" s="953"/>
      <c r="B8" s="903"/>
      <c r="C8" s="903"/>
      <c r="D8" s="903"/>
      <c r="E8" s="893"/>
      <c r="F8" s="903"/>
      <c r="G8" s="903"/>
      <c r="H8" s="903"/>
      <c r="I8" s="893"/>
      <c r="J8" s="99"/>
    </row>
    <row r="9" spans="1:19" ht="21" customHeight="1" thickBot="1" x14ac:dyDescent="0.25">
      <c r="A9" s="59" t="s">
        <v>155</v>
      </c>
      <c r="B9" s="339">
        <v>445617846</v>
      </c>
      <c r="C9" s="145">
        <f>'önkormányzat kiadásai 12. '!B34</f>
        <v>461706101</v>
      </c>
      <c r="D9" s="339">
        <f>131781110+13083924+3382070</f>
        <v>148247104</v>
      </c>
      <c r="E9" s="145">
        <f>Polg.Hiv.köt.fel.kiad.16.mell.!B12</f>
        <v>177118090</v>
      </c>
      <c r="F9" s="340">
        <f>3588325+5774080</f>
        <v>9362405</v>
      </c>
      <c r="G9" s="341">
        <f>'Könyvtár és Műv.H. kiadásai 17.'!B10</f>
        <v>11572200</v>
      </c>
      <c r="H9" s="140">
        <f>B9+D9+F9</f>
        <v>603227355</v>
      </c>
      <c r="I9" s="140">
        <f>G9+E9+C9</f>
        <v>650396391</v>
      </c>
      <c r="J9" s="99"/>
      <c r="K9" s="721"/>
    </row>
    <row r="10" spans="1:19" ht="33" customHeight="1" thickBot="1" x14ac:dyDescent="0.25">
      <c r="A10" s="138" t="s">
        <v>156</v>
      </c>
      <c r="B10" s="339">
        <v>35442834</v>
      </c>
      <c r="C10" s="145">
        <f>'önkormányzat kiadásai 12. '!C34</f>
        <v>40116708</v>
      </c>
      <c r="D10" s="339">
        <f>466232+1817954+16634062</f>
        <v>18918248</v>
      </c>
      <c r="E10" s="145">
        <f>'Polg.Hivatal kiadásai 15.'!C12</f>
        <v>22608800</v>
      </c>
      <c r="F10" s="340">
        <f>42760+690709</f>
        <v>733469</v>
      </c>
      <c r="G10" s="341">
        <f>'Könyvtár és Műv.H. kiadásai 17.'!C10</f>
        <v>1503000</v>
      </c>
      <c r="H10" s="140">
        <f t="shared" ref="H10:I17" si="0">B10+D10+F10</f>
        <v>55094551</v>
      </c>
      <c r="I10" s="140">
        <f t="shared" ref="I10:I16" si="1">G10+E10+C10</f>
        <v>64228508</v>
      </c>
      <c r="J10" s="99"/>
      <c r="K10" s="721"/>
    </row>
    <row r="11" spans="1:19" ht="21" customHeight="1" thickBot="1" x14ac:dyDescent="0.25">
      <c r="A11" s="59" t="s">
        <v>157</v>
      </c>
      <c r="B11" s="339">
        <v>228178436</v>
      </c>
      <c r="C11" s="145">
        <f>'önkormányzat kiadásai 12. '!D34</f>
        <v>270518113</v>
      </c>
      <c r="D11" s="339">
        <v>19490767</v>
      </c>
      <c r="E11" s="145">
        <f>'Polg.Hivatal kiadásai 15.'!D12</f>
        <v>21810000</v>
      </c>
      <c r="F11" s="340">
        <v>5957101</v>
      </c>
      <c r="G11" s="341">
        <f>'Könyvtár és Műv.H. kiadásai 17.'!D10</f>
        <v>8636000</v>
      </c>
      <c r="H11" s="140">
        <f t="shared" si="0"/>
        <v>253626304</v>
      </c>
      <c r="I11" s="140">
        <f t="shared" si="1"/>
        <v>300964113</v>
      </c>
      <c r="J11" s="99"/>
      <c r="K11" s="721"/>
    </row>
    <row r="12" spans="1:19" ht="21" customHeight="1" thickBot="1" x14ac:dyDescent="0.25">
      <c r="A12" s="60" t="s">
        <v>158</v>
      </c>
      <c r="B12" s="339">
        <v>19931566</v>
      </c>
      <c r="C12" s="146">
        <f>'önkormányzat kiadásai 12. '!E34</f>
        <v>19763000</v>
      </c>
      <c r="D12" s="339"/>
      <c r="E12" s="146"/>
      <c r="F12" s="340"/>
      <c r="G12" s="341"/>
      <c r="H12" s="140">
        <f t="shared" si="0"/>
        <v>19931566</v>
      </c>
      <c r="I12" s="140">
        <f t="shared" si="1"/>
        <v>19763000</v>
      </c>
      <c r="J12" s="99"/>
      <c r="K12" s="721"/>
    </row>
    <row r="13" spans="1:19" ht="35.25" customHeight="1" thickBot="1" x14ac:dyDescent="0.25">
      <c r="A13" s="168" t="s">
        <v>398</v>
      </c>
      <c r="B13" s="191">
        <v>93412849</v>
      </c>
      <c r="C13" s="191">
        <f>'önkormányzat kiadásai 12. '!F34+'önkormányzat kiadásai 12. '!G34</f>
        <v>109181816</v>
      </c>
      <c r="D13" s="339"/>
      <c r="E13" s="146"/>
      <c r="F13" s="340"/>
      <c r="G13" s="341"/>
      <c r="H13" s="140">
        <f t="shared" si="0"/>
        <v>93412849</v>
      </c>
      <c r="I13" s="140">
        <f t="shared" si="1"/>
        <v>109181816</v>
      </c>
      <c r="J13" s="99"/>
      <c r="K13" s="721"/>
    </row>
    <row r="14" spans="1:19" ht="35.25" customHeight="1" thickBot="1" x14ac:dyDescent="0.25">
      <c r="A14" s="168" t="s">
        <v>492</v>
      </c>
      <c r="B14" s="339">
        <v>0</v>
      </c>
      <c r="C14" s="339">
        <f>'önkormányzat kiadásai 12. '!G34</f>
        <v>38755816</v>
      </c>
      <c r="D14" s="339"/>
      <c r="E14" s="339"/>
      <c r="F14" s="339"/>
      <c r="G14" s="339"/>
      <c r="H14" s="140">
        <f t="shared" si="0"/>
        <v>0</v>
      </c>
      <c r="I14" s="140">
        <f t="shared" si="1"/>
        <v>38755816</v>
      </c>
      <c r="J14" s="99"/>
      <c r="K14" s="721"/>
    </row>
    <row r="15" spans="1:19" ht="35.25" customHeight="1" thickBot="1" x14ac:dyDescent="0.25">
      <c r="A15" s="138" t="s">
        <v>164</v>
      </c>
      <c r="B15" s="192">
        <f>SUM(B16:B17)</f>
        <v>212113165</v>
      </c>
      <c r="C15" s="192">
        <f>C16</f>
        <v>12274215</v>
      </c>
      <c r="D15" s="192"/>
      <c r="E15" s="192"/>
      <c r="F15" s="192"/>
      <c r="G15" s="192"/>
      <c r="H15" s="140">
        <f>B15+D15+F15</f>
        <v>212113165</v>
      </c>
      <c r="I15" s="140">
        <f t="shared" si="1"/>
        <v>12274215</v>
      </c>
      <c r="J15" s="99"/>
      <c r="K15" s="721"/>
    </row>
    <row r="16" spans="1:19" ht="35.25" customHeight="1" thickBot="1" x14ac:dyDescent="0.25">
      <c r="A16" s="168" t="s">
        <v>296</v>
      </c>
      <c r="B16" s="342">
        <v>14115214</v>
      </c>
      <c r="C16" s="191">
        <f>'önkormányzat kiadásai 12. '!K9</f>
        <v>12274215</v>
      </c>
      <c r="D16" s="342"/>
      <c r="E16" s="146"/>
      <c r="F16" s="343"/>
      <c r="G16" s="344"/>
      <c r="H16" s="140">
        <f t="shared" si="0"/>
        <v>14115214</v>
      </c>
      <c r="I16" s="140">
        <f t="shared" si="1"/>
        <v>12274215</v>
      </c>
      <c r="J16" s="99"/>
      <c r="K16" s="98"/>
    </row>
    <row r="17" spans="1:12" ht="31.5" customHeight="1" thickBot="1" x14ac:dyDescent="0.25">
      <c r="A17" s="168" t="s">
        <v>352</v>
      </c>
      <c r="B17" s="342">
        <v>197997951</v>
      </c>
      <c r="C17" s="146">
        <f>'Bevétel 2.melléklet'!E46+'Bevétel 2.melléklet'!G46</f>
        <v>245216090</v>
      </c>
      <c r="D17" s="342"/>
      <c r="E17" s="146"/>
      <c r="F17" s="343"/>
      <c r="G17" s="344"/>
      <c r="H17" s="140">
        <f t="shared" si="0"/>
        <v>197997951</v>
      </c>
      <c r="I17" s="140">
        <f t="shared" si="0"/>
        <v>245216090</v>
      </c>
      <c r="J17" s="99"/>
      <c r="K17" s="98"/>
    </row>
    <row r="18" spans="1:12" ht="21" customHeight="1" thickBot="1" x14ac:dyDescent="0.25">
      <c r="A18" s="19" t="s">
        <v>32</v>
      </c>
      <c r="B18" s="140">
        <f>B9+B10+B11+B12+B13+B15</f>
        <v>1034696696</v>
      </c>
      <c r="C18" s="140">
        <f>C9+C10+C11+C12+C13+C15</f>
        <v>913559953</v>
      </c>
      <c r="D18" s="140">
        <f t="shared" ref="D18:G18" si="2">D9+D10+D11+D12+D13+D15</f>
        <v>186656119</v>
      </c>
      <c r="E18" s="140">
        <f t="shared" si="2"/>
        <v>221536890</v>
      </c>
      <c r="F18" s="140">
        <f t="shared" si="2"/>
        <v>16052975</v>
      </c>
      <c r="G18" s="140">
        <f t="shared" si="2"/>
        <v>21711200</v>
      </c>
      <c r="H18" s="140">
        <f>H9+H10+H11+H12+H13+H15</f>
        <v>1237405790</v>
      </c>
      <c r="I18" s="140">
        <f>I9+I10+I11+I12+I13+I15+I17</f>
        <v>1402024133</v>
      </c>
      <c r="J18" s="99"/>
      <c r="K18" s="98"/>
    </row>
    <row r="19" spans="1:12" ht="21" customHeight="1" thickBot="1" x14ac:dyDescent="0.25">
      <c r="A19" s="22"/>
      <c r="B19" s="147"/>
      <c r="C19" s="148"/>
      <c r="D19" s="147"/>
      <c r="E19" s="148"/>
      <c r="F19" s="147"/>
      <c r="G19" s="147"/>
      <c r="H19" s="149"/>
      <c r="I19" s="149"/>
      <c r="J19" s="20"/>
      <c r="K19" s="98"/>
    </row>
    <row r="20" spans="1:12" s="156" customFormat="1" ht="21" customHeight="1" thickBot="1" x14ac:dyDescent="0.25">
      <c r="A20" s="210" t="s">
        <v>159</v>
      </c>
      <c r="B20" s="205">
        <v>79297824</v>
      </c>
      <c r="C20" s="205">
        <f>'önkormányzat kiadásai 12. '!H34</f>
        <v>332826519</v>
      </c>
      <c r="D20" s="205">
        <f>37670+1153434</f>
        <v>1191104</v>
      </c>
      <c r="E20" s="205">
        <f>'Polg.Hivatal kiadásai 15.'!H12</f>
        <v>3761000</v>
      </c>
      <c r="F20" s="205">
        <v>51860</v>
      </c>
      <c r="G20" s="205"/>
      <c r="H20" s="212">
        <f>B20+D20+F20</f>
        <v>80540788</v>
      </c>
      <c r="I20" s="212">
        <f>G20+E20+C20</f>
        <v>336587519</v>
      </c>
      <c r="J20" s="99"/>
      <c r="K20" s="859"/>
    </row>
    <row r="21" spans="1:12" s="156" customFormat="1" ht="21" customHeight="1" thickBot="1" x14ac:dyDescent="0.25">
      <c r="A21" s="210" t="s">
        <v>160</v>
      </c>
      <c r="B21" s="205">
        <v>4429342</v>
      </c>
      <c r="C21" s="205">
        <f>'önkormányzat kiadásai 12. '!I34</f>
        <v>2000000</v>
      </c>
      <c r="D21" s="205"/>
      <c r="E21" s="205"/>
      <c r="F21" s="205"/>
      <c r="G21" s="205"/>
      <c r="H21" s="212">
        <f>B21+D21+F21</f>
        <v>4429342</v>
      </c>
      <c r="I21" s="212">
        <f t="shared" ref="I21:I24" si="3">G21+E21+C21</f>
        <v>2000000</v>
      </c>
      <c r="J21" s="99"/>
      <c r="K21" s="859"/>
    </row>
    <row r="22" spans="1:12" s="156" customFormat="1" ht="21" customHeight="1" thickBot="1" x14ac:dyDescent="0.25">
      <c r="A22" s="210" t="s">
        <v>161</v>
      </c>
      <c r="B22" s="205">
        <v>16724363</v>
      </c>
      <c r="C22" s="205"/>
      <c r="D22" s="205"/>
      <c r="E22" s="205"/>
      <c r="F22" s="205"/>
      <c r="G22" s="205"/>
      <c r="H22" s="212">
        <f>B22+D22+F22</f>
        <v>16724363</v>
      </c>
      <c r="I22" s="212">
        <f t="shared" si="3"/>
        <v>0</v>
      </c>
      <c r="J22" s="99"/>
      <c r="K22" s="859"/>
    </row>
    <row r="23" spans="1:12" s="156" customFormat="1" ht="42" customHeight="1" thickBot="1" x14ac:dyDescent="0.25">
      <c r="A23" s="211" t="s">
        <v>165</v>
      </c>
      <c r="B23" s="205">
        <v>122028289</v>
      </c>
      <c r="C23" s="205">
        <f>'önkormányzat kiadásai 12. '!K33</f>
        <v>52103363</v>
      </c>
      <c r="D23" s="205"/>
      <c r="E23" s="205"/>
      <c r="F23" s="205"/>
      <c r="G23" s="205"/>
      <c r="H23" s="212">
        <f>B23+D23+F23</f>
        <v>122028289</v>
      </c>
      <c r="I23" s="212">
        <f t="shared" si="3"/>
        <v>52103363</v>
      </c>
      <c r="J23" s="99"/>
      <c r="K23" s="859"/>
    </row>
    <row r="24" spans="1:12" ht="21" customHeight="1" thickBot="1" x14ac:dyDescent="0.25">
      <c r="A24" s="19" t="s">
        <v>162</v>
      </c>
      <c r="B24" s="140">
        <f>SUM(B20:B23)</f>
        <v>222479818</v>
      </c>
      <c r="C24" s="140">
        <f>SUM(C20:C23)</f>
        <v>386929882</v>
      </c>
      <c r="D24" s="140">
        <f t="shared" ref="D24:G24" si="4">SUM(D20:D23)</f>
        <v>1191104</v>
      </c>
      <c r="E24" s="140">
        <f t="shared" si="4"/>
        <v>3761000</v>
      </c>
      <c r="F24" s="140">
        <f t="shared" si="4"/>
        <v>51860</v>
      </c>
      <c r="G24" s="867">
        <f t="shared" si="4"/>
        <v>0</v>
      </c>
      <c r="H24" s="140">
        <f>B24+D24+F24</f>
        <v>223722782</v>
      </c>
      <c r="I24" s="212">
        <f t="shared" si="3"/>
        <v>390690882</v>
      </c>
      <c r="J24" s="99"/>
      <c r="K24" s="721"/>
    </row>
    <row r="25" spans="1:12" s="1" customFormat="1" ht="21" customHeight="1" x14ac:dyDescent="0.2">
      <c r="A25" s="22"/>
      <c r="B25" s="147"/>
      <c r="C25" s="148"/>
      <c r="D25" s="147"/>
      <c r="E25" s="148"/>
      <c r="F25" s="147"/>
      <c r="G25" s="147"/>
      <c r="H25" s="149"/>
      <c r="I25" s="315"/>
      <c r="J25" s="727"/>
      <c r="K25" s="728"/>
    </row>
    <row r="26" spans="1:12" ht="21" customHeight="1" thickBot="1" x14ac:dyDescent="0.25">
      <c r="A26" s="22"/>
      <c r="B26" s="150"/>
      <c r="C26" s="150"/>
      <c r="D26" s="147"/>
      <c r="E26" s="148"/>
      <c r="F26" s="147"/>
      <c r="G26" s="147"/>
      <c r="H26" s="149"/>
      <c r="I26" s="315"/>
      <c r="J26" s="20"/>
      <c r="K26" s="721"/>
    </row>
    <row r="27" spans="1:12" ht="21" customHeight="1" thickBot="1" x14ac:dyDescent="0.25">
      <c r="A27" s="19" t="s">
        <v>33</v>
      </c>
      <c r="B27" s="140">
        <f>B18+B24</f>
        <v>1257176514</v>
      </c>
      <c r="C27" s="140">
        <f>C18+C24</f>
        <v>1300489835</v>
      </c>
      <c r="D27" s="140">
        <f t="shared" ref="D27:G27" si="5">D18+D24</f>
        <v>187847223</v>
      </c>
      <c r="E27" s="140">
        <f t="shared" si="5"/>
        <v>225297890</v>
      </c>
      <c r="F27" s="140">
        <f t="shared" si="5"/>
        <v>16104835</v>
      </c>
      <c r="G27" s="140">
        <f t="shared" si="5"/>
        <v>21711200</v>
      </c>
      <c r="H27" s="140">
        <f>H18+H24</f>
        <v>1461128572</v>
      </c>
      <c r="I27" s="140">
        <f>I18+I24</f>
        <v>1792715015</v>
      </c>
      <c r="J27" s="20"/>
      <c r="K27" s="98"/>
    </row>
    <row r="28" spans="1:12" ht="21" customHeight="1" x14ac:dyDescent="0.2">
      <c r="A28" s="23"/>
      <c r="B28" s="151"/>
      <c r="C28" s="151"/>
      <c r="D28" s="151"/>
      <c r="E28" s="152"/>
      <c r="F28" s="151"/>
      <c r="G28" s="151"/>
      <c r="H28" s="151"/>
      <c r="I28" s="315"/>
      <c r="J28" s="20"/>
    </row>
    <row r="29" spans="1:12" x14ac:dyDescent="0.2">
      <c r="A29" s="20"/>
      <c r="B29" s="20"/>
      <c r="C29" s="864"/>
      <c r="D29" s="20"/>
      <c r="E29" s="20"/>
      <c r="F29" s="20"/>
      <c r="G29" s="20"/>
      <c r="H29" s="20"/>
      <c r="I29" s="864"/>
      <c r="J29" s="20"/>
    </row>
    <row r="30" spans="1:12" ht="16.5" customHeight="1" x14ac:dyDescent="0.2">
      <c r="A30" s="62"/>
      <c r="B30" s="62"/>
      <c r="C30" s="530"/>
      <c r="D30" s="62"/>
      <c r="E30" s="62"/>
      <c r="F30" s="62"/>
      <c r="G30" s="62"/>
      <c r="H30" s="62"/>
      <c r="I30" s="63"/>
      <c r="J30" s="20"/>
    </row>
    <row r="31" spans="1:12" x14ac:dyDescent="0.2">
      <c r="A31" s="20"/>
      <c r="B31" s="20"/>
      <c r="C31" s="865"/>
      <c r="D31" s="20"/>
      <c r="E31" s="20"/>
      <c r="F31" s="20"/>
      <c r="G31" s="20"/>
      <c r="H31" s="20"/>
      <c r="I31" s="20"/>
      <c r="J31" s="20"/>
      <c r="K31" s="20"/>
      <c r="L31" s="20"/>
    </row>
    <row r="32" spans="1:12" x14ac:dyDescent="0.2">
      <c r="A32" s="20"/>
      <c r="B32" s="20"/>
      <c r="C32" s="596"/>
      <c r="D32" s="20"/>
      <c r="E32" s="20"/>
      <c r="F32" s="20"/>
      <c r="G32" s="20"/>
      <c r="H32" s="20"/>
      <c r="I32" s="20"/>
      <c r="J32" s="20"/>
      <c r="K32" s="20"/>
      <c r="L32" s="20"/>
    </row>
    <row r="33" spans="1:12" x14ac:dyDescent="0.2">
      <c r="A33" s="20"/>
      <c r="B33" s="20"/>
      <c r="C33" s="596"/>
      <c r="D33" s="20"/>
      <c r="E33" s="20"/>
      <c r="F33" s="20"/>
      <c r="G33" s="20"/>
      <c r="H33" s="20"/>
      <c r="I33" s="20"/>
      <c r="J33" s="20"/>
      <c r="K33" s="20"/>
      <c r="L33" s="20"/>
    </row>
    <row r="34" spans="1:12" x14ac:dyDescent="0.2">
      <c r="A34" s="20"/>
      <c r="B34" s="20"/>
      <c r="C34" s="596"/>
      <c r="D34" s="20"/>
      <c r="E34" s="20"/>
      <c r="F34" s="20"/>
      <c r="G34" s="20"/>
      <c r="H34" s="20"/>
      <c r="I34" s="20"/>
      <c r="J34" s="20"/>
      <c r="K34" s="20"/>
      <c r="L34" s="20"/>
    </row>
    <row r="35" spans="1:12" x14ac:dyDescent="0.2">
      <c r="A35" s="20"/>
      <c r="B35" s="20"/>
      <c r="C35" s="596"/>
      <c r="D35" s="20"/>
      <c r="E35" s="20"/>
      <c r="F35" s="20"/>
      <c r="G35" s="20"/>
      <c r="H35" s="20"/>
      <c r="I35" s="20"/>
      <c r="J35" s="20"/>
      <c r="K35" s="20"/>
      <c r="L35" s="20"/>
    </row>
    <row r="36" spans="1:12" x14ac:dyDescent="0.2">
      <c r="A36" s="20"/>
      <c r="B36" s="20"/>
      <c r="C36" s="596"/>
      <c r="D36" s="20"/>
      <c r="E36" s="20"/>
      <c r="F36" s="20"/>
      <c r="G36" s="20"/>
      <c r="H36" s="20"/>
      <c r="I36" s="20"/>
      <c r="J36" s="20"/>
      <c r="K36" s="20"/>
      <c r="L36" s="20"/>
    </row>
    <row r="37" spans="1:12" x14ac:dyDescent="0.2">
      <c r="A37" s="20"/>
      <c r="B37" s="20"/>
      <c r="C37" s="596"/>
      <c r="D37" s="20"/>
      <c r="E37" s="20"/>
      <c r="F37" s="20"/>
      <c r="G37" s="20"/>
      <c r="H37" s="20"/>
      <c r="I37" s="20"/>
      <c r="J37" s="20"/>
      <c r="K37" s="20"/>
      <c r="L37" s="20"/>
    </row>
    <row r="38" spans="1:12" x14ac:dyDescent="0.2">
      <c r="A38" s="20"/>
      <c r="B38" s="20"/>
      <c r="C38" s="596"/>
      <c r="D38" s="20"/>
      <c r="E38" s="20"/>
      <c r="F38" s="597"/>
      <c r="G38" s="20"/>
      <c r="H38" s="20"/>
      <c r="I38" s="20"/>
      <c r="J38" s="20"/>
      <c r="K38" s="20"/>
      <c r="L38" s="20"/>
    </row>
  </sheetData>
  <mergeCells count="11">
    <mergeCell ref="I7:I8"/>
    <mergeCell ref="A2:I2"/>
    <mergeCell ref="D6:I6"/>
    <mergeCell ref="A7:A8"/>
    <mergeCell ref="B7:B8"/>
    <mergeCell ref="C7:C8"/>
    <mergeCell ref="D7:D8"/>
    <mergeCell ref="E7:E8"/>
    <mergeCell ref="F7:F8"/>
    <mergeCell ref="G7:G8"/>
    <mergeCell ref="H7:H8"/>
  </mergeCells>
  <pageMargins left="0.19685039370078741" right="0.19685039370078741" top="0.35433070866141736" bottom="0.39370078740157483" header="0.51181102362204722" footer="0.51181102362204722"/>
  <pageSetup paperSize="9" scale="78" orientation="landscape" r:id="rId1"/>
  <headerFooter alignWithMargins="0">
    <oddHeader>&amp;R11.sz. melléklet
......../2025.(II.13.) Egyek Önk.</oddHeader>
  </headerFooter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6"/>
  <sheetViews>
    <sheetView topLeftCell="A8" zoomScale="110" zoomScaleNormal="110" zoomScaleSheetLayoutView="100" workbookViewId="0">
      <selection activeCell="K11" sqref="K11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954" t="s">
        <v>520</v>
      </c>
      <c r="B2" s="955"/>
      <c r="C2" s="955"/>
      <c r="D2" s="955"/>
      <c r="E2" s="955"/>
      <c r="F2" s="955"/>
      <c r="G2" s="955"/>
      <c r="H2" s="955"/>
      <c r="I2" s="956"/>
      <c r="J2" s="956"/>
      <c r="K2" s="956"/>
      <c r="L2" s="956"/>
    </row>
    <row r="3" spans="1:12" ht="13.5" thickBot="1" x14ac:dyDescent="0.25">
      <c r="L3" s="837"/>
    </row>
    <row r="4" spans="1:12" ht="102" customHeight="1" thickBot="1" x14ac:dyDescent="0.25">
      <c r="A4" s="905" t="s">
        <v>139</v>
      </c>
      <c r="B4" s="122" t="s">
        <v>155</v>
      </c>
      <c r="C4" s="122" t="s">
        <v>166</v>
      </c>
      <c r="D4" s="122" t="s">
        <v>157</v>
      </c>
      <c r="E4" s="122" t="s">
        <v>167</v>
      </c>
      <c r="F4" s="122" t="s">
        <v>163</v>
      </c>
      <c r="G4" s="122" t="s">
        <v>307</v>
      </c>
      <c r="H4" s="122" t="s">
        <v>159</v>
      </c>
      <c r="I4" s="122" t="s">
        <v>160</v>
      </c>
      <c r="J4" s="122" t="s">
        <v>161</v>
      </c>
      <c r="K4" s="122" t="s">
        <v>169</v>
      </c>
      <c r="L4" s="123" t="s">
        <v>24</v>
      </c>
    </row>
    <row r="5" spans="1:12" ht="21" customHeight="1" thickBot="1" x14ac:dyDescent="0.25">
      <c r="A5" s="906"/>
      <c r="B5" s="160" t="s">
        <v>502</v>
      </c>
      <c r="C5" s="160" t="s">
        <v>502</v>
      </c>
      <c r="D5" s="160" t="s">
        <v>502</v>
      </c>
      <c r="E5" s="160" t="s">
        <v>502</v>
      </c>
      <c r="F5" s="160" t="s">
        <v>502</v>
      </c>
      <c r="G5" s="160" t="s">
        <v>502</v>
      </c>
      <c r="H5" s="160" t="s">
        <v>502</v>
      </c>
      <c r="I5" s="160" t="s">
        <v>502</v>
      </c>
      <c r="J5" s="160" t="s">
        <v>502</v>
      </c>
      <c r="K5" s="160" t="s">
        <v>502</v>
      </c>
      <c r="L5" s="160" t="s">
        <v>502</v>
      </c>
    </row>
    <row r="6" spans="1:12" ht="21" customHeight="1" thickBot="1" x14ac:dyDescent="0.25">
      <c r="A6" s="838" t="s">
        <v>478</v>
      </c>
      <c r="B6" s="65">
        <v>42208657</v>
      </c>
      <c r="C6" s="65">
        <v>5819788</v>
      </c>
      <c r="D6" s="97">
        <v>22991000</v>
      </c>
      <c r="E6" s="97"/>
      <c r="F6" s="65"/>
      <c r="G6" s="65">
        <v>38755816</v>
      </c>
      <c r="H6" s="65">
        <v>3520000</v>
      </c>
      <c r="I6" s="97"/>
      <c r="J6" s="97"/>
      <c r="K6" s="65"/>
      <c r="L6" s="167">
        <f>SUM(B6:K6)</f>
        <v>113295261</v>
      </c>
    </row>
    <row r="7" spans="1:12" ht="21" customHeight="1" thickBot="1" x14ac:dyDescent="0.25">
      <c r="A7" s="838" t="s">
        <v>146</v>
      </c>
      <c r="B7" s="65"/>
      <c r="C7" s="65"/>
      <c r="D7" s="97">
        <v>54000</v>
      </c>
      <c r="E7" s="97"/>
      <c r="F7" s="65">
        <v>9268000</v>
      </c>
      <c r="G7" s="65"/>
      <c r="H7" s="65">
        <v>5000000</v>
      </c>
      <c r="I7" s="97"/>
      <c r="J7" s="97"/>
      <c r="K7" s="65"/>
      <c r="L7" s="167">
        <f t="shared" ref="L7:L33" si="0">SUM(B7:K7)</f>
        <v>14322000</v>
      </c>
    </row>
    <row r="8" spans="1:12" s="68" customFormat="1" ht="31.5" customHeight="1" thickBot="1" x14ac:dyDescent="0.25">
      <c r="A8" s="839" t="s">
        <v>140</v>
      </c>
      <c r="B8" s="97">
        <v>100000</v>
      </c>
      <c r="C8" s="97"/>
      <c r="D8" s="97">
        <v>31204000</v>
      </c>
      <c r="E8" s="97"/>
      <c r="F8" s="97"/>
      <c r="G8" s="97"/>
      <c r="H8" s="97">
        <v>93827139</v>
      </c>
      <c r="I8" s="97">
        <v>2000000</v>
      </c>
      <c r="J8" s="97"/>
      <c r="K8" s="97"/>
      <c r="L8" s="167">
        <f>SUM(B8:K8)</f>
        <v>127131139</v>
      </c>
    </row>
    <row r="9" spans="1:12" s="68" customFormat="1" ht="31.5" customHeight="1" thickBot="1" x14ac:dyDescent="0.25">
      <c r="A9" s="839" t="s">
        <v>479</v>
      </c>
      <c r="B9" s="97"/>
      <c r="C9" s="97"/>
      <c r="D9" s="97"/>
      <c r="E9" s="97"/>
      <c r="F9" s="97"/>
      <c r="G9" s="97"/>
      <c r="H9" s="97"/>
      <c r="I9" s="97"/>
      <c r="J9" s="97"/>
      <c r="K9" s="97">
        <v>12274215</v>
      </c>
      <c r="L9" s="167">
        <f t="shared" si="0"/>
        <v>12274215</v>
      </c>
    </row>
    <row r="10" spans="1:12" s="68" customFormat="1" ht="31.5" customHeight="1" thickBot="1" x14ac:dyDescent="0.25">
      <c r="A10" s="839" t="s">
        <v>306</v>
      </c>
      <c r="B10" s="97"/>
      <c r="C10" s="97"/>
      <c r="D10" s="97"/>
      <c r="E10" s="97"/>
      <c r="F10" s="97">
        <f>30100000+5419000</f>
        <v>35519000</v>
      </c>
      <c r="G10" s="97"/>
      <c r="H10" s="97"/>
      <c r="I10" s="97"/>
      <c r="J10" s="97"/>
      <c r="K10" s="97">
        <f>'Kiadások 11. m.'!C17</f>
        <v>245216090</v>
      </c>
      <c r="L10" s="167">
        <f t="shared" si="0"/>
        <v>280735090</v>
      </c>
    </row>
    <row r="11" spans="1:12" s="68" customFormat="1" ht="21" customHeight="1" thickBot="1" x14ac:dyDescent="0.25">
      <c r="A11" s="840" t="s">
        <v>480</v>
      </c>
      <c r="B11" s="97"/>
      <c r="C11" s="97"/>
      <c r="D11" s="97"/>
      <c r="E11" s="97"/>
      <c r="F11" s="97">
        <v>13000000</v>
      </c>
      <c r="G11" s="97"/>
      <c r="H11" s="97"/>
      <c r="I11" s="97"/>
      <c r="J11" s="97"/>
      <c r="K11" s="97"/>
      <c r="L11" s="167">
        <f t="shared" si="0"/>
        <v>13000000</v>
      </c>
    </row>
    <row r="12" spans="1:12" s="68" customFormat="1" ht="21" customHeight="1" thickBot="1" x14ac:dyDescent="0.25">
      <c r="A12" s="841" t="s">
        <v>358</v>
      </c>
      <c r="B12" s="97">
        <v>24973000</v>
      </c>
      <c r="C12" s="97">
        <v>1623000</v>
      </c>
      <c r="D12" s="97"/>
      <c r="E12" s="97"/>
      <c r="F12" s="97"/>
      <c r="G12" s="97"/>
      <c r="H12" s="97"/>
      <c r="I12" s="97"/>
      <c r="J12" s="97"/>
      <c r="K12" s="97"/>
      <c r="L12" s="167">
        <f t="shared" si="0"/>
        <v>26596000</v>
      </c>
    </row>
    <row r="13" spans="1:12" s="68" customFormat="1" ht="21" customHeight="1" thickBot="1" x14ac:dyDescent="0.25">
      <c r="A13" s="841" t="s">
        <v>145</v>
      </c>
      <c r="B13" s="97">
        <v>309001864</v>
      </c>
      <c r="C13" s="97">
        <v>21430000</v>
      </c>
      <c r="D13" s="97">
        <v>60446536</v>
      </c>
      <c r="E13" s="97"/>
      <c r="F13" s="97">
        <v>2339000</v>
      </c>
      <c r="G13" s="97"/>
      <c r="H13" s="97">
        <v>3564463</v>
      </c>
      <c r="I13" s="97"/>
      <c r="J13" s="97"/>
      <c r="K13" s="97"/>
      <c r="L13" s="167">
        <f t="shared" si="0"/>
        <v>396781863</v>
      </c>
    </row>
    <row r="14" spans="1:12" s="68" customFormat="1" ht="21" customHeight="1" thickBot="1" x14ac:dyDescent="0.25">
      <c r="A14" s="841" t="s">
        <v>481</v>
      </c>
      <c r="B14" s="97">
        <v>5747400</v>
      </c>
      <c r="C14" s="97">
        <v>768000</v>
      </c>
      <c r="D14" s="97">
        <v>14898000</v>
      </c>
      <c r="E14" s="97"/>
      <c r="F14" s="97"/>
      <c r="G14" s="97"/>
      <c r="H14" s="97">
        <v>1000000</v>
      </c>
      <c r="I14" s="97"/>
      <c r="J14" s="97"/>
      <c r="K14" s="97"/>
      <c r="L14" s="167">
        <f t="shared" si="0"/>
        <v>22413400</v>
      </c>
    </row>
    <row r="15" spans="1:12" s="68" customFormat="1" ht="21" customHeight="1" thickBot="1" x14ac:dyDescent="0.25">
      <c r="A15" s="841" t="s">
        <v>482</v>
      </c>
      <c r="B15" s="97"/>
      <c r="C15" s="97"/>
      <c r="D15" s="97"/>
      <c r="E15" s="97"/>
      <c r="F15" s="97"/>
      <c r="G15" s="97"/>
      <c r="H15" s="97">
        <v>214064917</v>
      </c>
      <c r="I15" s="97"/>
      <c r="J15" s="97"/>
      <c r="K15" s="97"/>
      <c r="L15" s="167">
        <f t="shared" si="0"/>
        <v>214064917</v>
      </c>
    </row>
    <row r="16" spans="1:12" s="842" customFormat="1" ht="21" customHeight="1" thickBot="1" x14ac:dyDescent="0.25">
      <c r="A16" s="840" t="s">
        <v>483</v>
      </c>
      <c r="B16" s="97"/>
      <c r="C16" s="97"/>
      <c r="D16" s="97">
        <v>11262000</v>
      </c>
      <c r="E16" s="97"/>
      <c r="F16" s="97"/>
      <c r="G16" s="97"/>
      <c r="H16" s="97"/>
      <c r="I16" s="97"/>
      <c r="J16" s="97"/>
      <c r="K16" s="97"/>
      <c r="L16" s="167">
        <f t="shared" si="0"/>
        <v>11262000</v>
      </c>
    </row>
    <row r="17" spans="1:12" s="842" customFormat="1" ht="21" customHeight="1" thickBot="1" x14ac:dyDescent="0.25">
      <c r="A17" s="843" t="s">
        <v>484</v>
      </c>
      <c r="B17" s="548"/>
      <c r="C17" s="97"/>
      <c r="D17" s="97">
        <v>3067000</v>
      </c>
      <c r="E17" s="97"/>
      <c r="F17" s="97"/>
      <c r="G17" s="97"/>
      <c r="H17" s="97"/>
      <c r="I17" s="97"/>
      <c r="J17" s="97"/>
      <c r="K17" s="97"/>
      <c r="L17" s="167">
        <f t="shared" si="0"/>
        <v>3067000</v>
      </c>
    </row>
    <row r="18" spans="1:12" s="842" customFormat="1" ht="21" customHeight="1" thickBot="1" x14ac:dyDescent="0.25">
      <c r="A18" s="843" t="s">
        <v>359</v>
      </c>
      <c r="B18" s="548"/>
      <c r="C18" s="97"/>
      <c r="D18" s="97">
        <v>721000</v>
      </c>
      <c r="E18" s="97"/>
      <c r="F18" s="97"/>
      <c r="G18" s="97"/>
      <c r="H18" s="97"/>
      <c r="I18" s="97"/>
      <c r="J18" s="97"/>
      <c r="K18" s="97"/>
      <c r="L18" s="167">
        <f t="shared" si="0"/>
        <v>721000</v>
      </c>
    </row>
    <row r="19" spans="1:12" s="842" customFormat="1" ht="21" customHeight="1" thickBot="1" x14ac:dyDescent="0.25">
      <c r="A19" s="844" t="s">
        <v>485</v>
      </c>
      <c r="B19" s="548"/>
      <c r="C19" s="97"/>
      <c r="D19" s="97">
        <v>635000</v>
      </c>
      <c r="E19" s="97"/>
      <c r="F19" s="97"/>
      <c r="G19" s="97"/>
      <c r="H19" s="97"/>
      <c r="I19" s="97"/>
      <c r="J19" s="97"/>
      <c r="K19" s="97"/>
      <c r="L19" s="167">
        <f t="shared" si="0"/>
        <v>635000</v>
      </c>
    </row>
    <row r="20" spans="1:12" s="105" customFormat="1" ht="21" customHeight="1" thickBot="1" x14ac:dyDescent="0.25">
      <c r="A20" s="844" t="s">
        <v>486</v>
      </c>
      <c r="B20" s="845"/>
      <c r="C20" s="65"/>
      <c r="D20" s="97"/>
      <c r="E20" s="97"/>
      <c r="F20" s="65"/>
      <c r="G20" s="65"/>
      <c r="H20" s="65">
        <v>6000000</v>
      </c>
      <c r="I20" s="97"/>
      <c r="J20" s="97"/>
      <c r="K20" s="65"/>
      <c r="L20" s="167">
        <f t="shared" si="0"/>
        <v>6000000</v>
      </c>
    </row>
    <row r="21" spans="1:12" s="842" customFormat="1" ht="21" customHeight="1" thickBot="1" x14ac:dyDescent="0.25">
      <c r="A21" s="839" t="s">
        <v>487</v>
      </c>
      <c r="B21" s="97"/>
      <c r="C21" s="97"/>
      <c r="D21" s="97">
        <v>25606500</v>
      </c>
      <c r="E21" s="97"/>
      <c r="F21" s="97"/>
      <c r="G21" s="97"/>
      <c r="H21" s="97"/>
      <c r="I21" s="97"/>
      <c r="J21" s="97"/>
      <c r="K21" s="97"/>
      <c r="L21" s="167">
        <f t="shared" si="0"/>
        <v>25606500</v>
      </c>
    </row>
    <row r="22" spans="1:12" s="842" customFormat="1" ht="21" customHeight="1" thickBot="1" x14ac:dyDescent="0.25">
      <c r="A22" s="840" t="s">
        <v>141</v>
      </c>
      <c r="B22" s="97">
        <v>29138550</v>
      </c>
      <c r="C22" s="97">
        <v>3935000</v>
      </c>
      <c r="D22" s="97">
        <v>10109000</v>
      </c>
      <c r="E22" s="97"/>
      <c r="F22" s="97"/>
      <c r="G22" s="97"/>
      <c r="H22" s="97">
        <v>5000000</v>
      </c>
      <c r="I22" s="97"/>
      <c r="J22" s="97"/>
      <c r="K22" s="97"/>
      <c r="L22" s="167">
        <f t="shared" si="0"/>
        <v>48182550</v>
      </c>
    </row>
    <row r="23" spans="1:12" s="68" customFormat="1" ht="21" customHeight="1" thickBot="1" x14ac:dyDescent="0.25">
      <c r="A23" s="840" t="s">
        <v>170</v>
      </c>
      <c r="B23" s="97">
        <v>42927700</v>
      </c>
      <c r="C23" s="97">
        <v>5319000</v>
      </c>
      <c r="D23" s="97">
        <v>44691077</v>
      </c>
      <c r="E23" s="97"/>
      <c r="F23" s="97"/>
      <c r="G23" s="97"/>
      <c r="H23" s="97">
        <v>600000</v>
      </c>
      <c r="I23" s="97"/>
      <c r="J23" s="97"/>
      <c r="K23" s="97"/>
      <c r="L23" s="167">
        <f t="shared" si="0"/>
        <v>93537777</v>
      </c>
    </row>
    <row r="24" spans="1:12" s="68" customFormat="1" ht="21" customHeight="1" thickBot="1" x14ac:dyDescent="0.25">
      <c r="A24" s="840" t="s">
        <v>171</v>
      </c>
      <c r="B24" s="97"/>
      <c r="C24" s="97"/>
      <c r="D24" s="97">
        <v>9292000</v>
      </c>
      <c r="E24" s="97"/>
      <c r="F24" s="97"/>
      <c r="G24" s="97"/>
      <c r="H24" s="97">
        <v>100000</v>
      </c>
      <c r="I24" s="97"/>
      <c r="J24" s="97"/>
      <c r="K24" s="97"/>
      <c r="L24" s="167">
        <f t="shared" si="0"/>
        <v>9392000</v>
      </c>
    </row>
    <row r="25" spans="1:12" s="68" customFormat="1" ht="21" customHeight="1" thickBot="1" x14ac:dyDescent="0.25">
      <c r="A25" s="840" t="s">
        <v>559</v>
      </c>
      <c r="B25" s="97">
        <v>252480</v>
      </c>
      <c r="C25" s="97">
        <v>29520</v>
      </c>
      <c r="D25" s="97"/>
      <c r="E25" s="97"/>
      <c r="F25" s="97"/>
      <c r="G25" s="97"/>
      <c r="H25" s="97"/>
      <c r="I25" s="97"/>
      <c r="J25" s="97"/>
      <c r="K25" s="97"/>
      <c r="L25" s="167">
        <f t="shared" si="0"/>
        <v>282000</v>
      </c>
    </row>
    <row r="26" spans="1:12" s="68" customFormat="1" ht="21" customHeight="1" thickBot="1" x14ac:dyDescent="0.25">
      <c r="A26" s="841" t="s">
        <v>292</v>
      </c>
      <c r="B26" s="97"/>
      <c r="C26" s="97"/>
      <c r="D26" s="97"/>
      <c r="E26" s="97"/>
      <c r="F26" s="97">
        <v>7300000</v>
      </c>
      <c r="G26" s="97"/>
      <c r="H26" s="97"/>
      <c r="I26" s="97"/>
      <c r="J26" s="97"/>
      <c r="K26" s="97"/>
      <c r="L26" s="167">
        <f t="shared" si="0"/>
        <v>7300000</v>
      </c>
    </row>
    <row r="27" spans="1:12" s="68" customFormat="1" ht="21" customHeight="1" thickBot="1" x14ac:dyDescent="0.25">
      <c r="A27" s="841" t="s">
        <v>558</v>
      </c>
      <c r="B27" s="97">
        <v>1000000</v>
      </c>
      <c r="C27" s="97">
        <v>330400</v>
      </c>
      <c r="D27" s="97">
        <v>1000000</v>
      </c>
      <c r="E27" s="97"/>
      <c r="F27" s="97"/>
      <c r="G27" s="97"/>
      <c r="H27" s="97"/>
      <c r="I27" s="97"/>
      <c r="J27" s="97"/>
      <c r="K27" s="97"/>
      <c r="L27" s="167">
        <f t="shared" si="0"/>
        <v>2330400</v>
      </c>
    </row>
    <row r="28" spans="1:12" s="68" customFormat="1" ht="21" customHeight="1" thickBot="1" x14ac:dyDescent="0.25">
      <c r="A28" s="841" t="s">
        <v>488</v>
      </c>
      <c r="B28" s="97"/>
      <c r="C28" s="97"/>
      <c r="D28" s="97">
        <v>17054000</v>
      </c>
      <c r="E28" s="97"/>
      <c r="F28" s="97"/>
      <c r="G28" s="97"/>
      <c r="H28" s="97"/>
      <c r="I28" s="97"/>
      <c r="J28" s="97"/>
      <c r="K28" s="97"/>
      <c r="L28" s="167">
        <f t="shared" si="0"/>
        <v>17054000</v>
      </c>
    </row>
    <row r="29" spans="1:12" s="68" customFormat="1" ht="21" customHeight="1" thickBot="1" x14ac:dyDescent="0.25">
      <c r="A29" s="841" t="s">
        <v>239</v>
      </c>
      <c r="B29" s="97"/>
      <c r="C29" s="97"/>
      <c r="D29" s="97"/>
      <c r="E29" s="97">
        <v>30000</v>
      </c>
      <c r="F29" s="97"/>
      <c r="G29" s="97"/>
      <c r="H29" s="97"/>
      <c r="I29" s="97"/>
      <c r="J29" s="97"/>
      <c r="K29" s="97"/>
      <c r="L29" s="167">
        <f t="shared" si="0"/>
        <v>30000</v>
      </c>
    </row>
    <row r="30" spans="1:12" s="68" customFormat="1" ht="28.5" customHeight="1" thickBot="1" x14ac:dyDescent="0.25">
      <c r="A30" s="846" t="s">
        <v>489</v>
      </c>
      <c r="B30" s="97"/>
      <c r="C30" s="97"/>
      <c r="D30" s="97">
        <v>4058000</v>
      </c>
      <c r="E30" s="97"/>
      <c r="F30" s="97"/>
      <c r="G30" s="97"/>
      <c r="H30" s="97"/>
      <c r="I30" s="97"/>
      <c r="J30" s="97"/>
      <c r="K30" s="97"/>
      <c r="L30" s="167">
        <f t="shared" si="0"/>
        <v>4058000</v>
      </c>
    </row>
    <row r="31" spans="1:12" s="68" customFormat="1" ht="21" customHeight="1" thickBot="1" x14ac:dyDescent="0.25">
      <c r="A31" s="841" t="s">
        <v>144</v>
      </c>
      <c r="B31" s="97">
        <v>6356450</v>
      </c>
      <c r="C31" s="97">
        <v>862000</v>
      </c>
      <c r="D31" s="97">
        <v>2381000</v>
      </c>
      <c r="E31" s="97"/>
      <c r="F31" s="97"/>
      <c r="G31" s="97"/>
      <c r="H31" s="97">
        <v>150000</v>
      </c>
      <c r="I31" s="847"/>
      <c r="J31" s="847"/>
      <c r="K31" s="97"/>
      <c r="L31" s="167">
        <f t="shared" si="0"/>
        <v>9749450</v>
      </c>
    </row>
    <row r="32" spans="1:12" s="68" customFormat="1" ht="31.9" customHeight="1" thickBot="1" x14ac:dyDescent="0.25">
      <c r="A32" s="848" t="s">
        <v>490</v>
      </c>
      <c r="B32" s="97"/>
      <c r="C32" s="97"/>
      <c r="D32" s="97"/>
      <c r="E32" s="97">
        <v>19733000</v>
      </c>
      <c r="F32" s="97">
        <v>3000000</v>
      </c>
      <c r="G32" s="97"/>
      <c r="H32" s="97"/>
      <c r="I32" s="97"/>
      <c r="J32" s="97"/>
      <c r="K32" s="97"/>
      <c r="L32" s="167">
        <f t="shared" si="0"/>
        <v>22733000</v>
      </c>
    </row>
    <row r="33" spans="1:12" ht="30.75" customHeight="1" thickBot="1" x14ac:dyDescent="0.25">
      <c r="A33" s="849" t="s">
        <v>491</v>
      </c>
      <c r="B33" s="65"/>
      <c r="C33" s="65"/>
      <c r="D33" s="97">
        <v>11048000</v>
      </c>
      <c r="E33" s="97"/>
      <c r="F33" s="65"/>
      <c r="G33" s="65"/>
      <c r="H33" s="65"/>
      <c r="I33" s="97"/>
      <c r="J33" s="65"/>
      <c r="K33" s="65">
        <v>52103363</v>
      </c>
      <c r="L33" s="167">
        <f t="shared" si="0"/>
        <v>63151363</v>
      </c>
    </row>
    <row r="34" spans="1:12" ht="21" customHeight="1" thickBot="1" x14ac:dyDescent="0.25">
      <c r="A34" s="102" t="s">
        <v>13</v>
      </c>
      <c r="B34" s="106">
        <f t="shared" ref="B34:K34" si="1">SUM(B6:B33)</f>
        <v>461706101</v>
      </c>
      <c r="C34" s="106">
        <f t="shared" si="1"/>
        <v>40116708</v>
      </c>
      <c r="D34" s="106">
        <f t="shared" si="1"/>
        <v>270518113</v>
      </c>
      <c r="E34" s="106">
        <f t="shared" si="1"/>
        <v>19763000</v>
      </c>
      <c r="F34" s="106">
        <f t="shared" si="1"/>
        <v>70426000</v>
      </c>
      <c r="G34" s="106">
        <f t="shared" si="1"/>
        <v>38755816</v>
      </c>
      <c r="H34" s="106">
        <f t="shared" si="1"/>
        <v>332826519</v>
      </c>
      <c r="I34" s="106">
        <f t="shared" si="1"/>
        <v>2000000</v>
      </c>
      <c r="J34" s="106">
        <f t="shared" si="1"/>
        <v>0</v>
      </c>
      <c r="K34" s="106">
        <f t="shared" si="1"/>
        <v>309593668</v>
      </c>
      <c r="L34" s="167">
        <f>SUM(B34:K34)</f>
        <v>1545705925</v>
      </c>
    </row>
    <row r="36" spans="1:12" x14ac:dyDescent="0.2">
      <c r="B36" s="452"/>
      <c r="C36" s="452"/>
      <c r="D36" s="452"/>
      <c r="E36" s="452"/>
      <c r="F36" s="452"/>
      <c r="G36" s="452"/>
      <c r="H36" s="452"/>
      <c r="I36" s="452"/>
      <c r="J36" s="452"/>
      <c r="K36" s="452"/>
      <c r="L36" s="452"/>
    </row>
    <row r="37" spans="1:12" x14ac:dyDescent="0.2">
      <c r="B37" s="452"/>
      <c r="C37" s="452"/>
      <c r="D37" s="452"/>
      <c r="E37" s="452"/>
      <c r="F37" s="452"/>
      <c r="G37" s="452"/>
      <c r="H37" s="452"/>
      <c r="I37" s="452"/>
      <c r="J37" s="452"/>
      <c r="K37" s="452"/>
      <c r="L37" s="452"/>
    </row>
    <row r="38" spans="1:12" x14ac:dyDescent="0.2">
      <c r="A38" s="850"/>
      <c r="B38" s="875"/>
      <c r="C38" s="875"/>
      <c r="D38" s="875"/>
      <c r="E38" s="875"/>
      <c r="F38" s="875"/>
      <c r="G38" s="875"/>
      <c r="H38" s="875"/>
      <c r="I38" s="875"/>
      <c r="J38" s="875"/>
      <c r="K38" s="875"/>
      <c r="L38" s="875"/>
    </row>
    <row r="39" spans="1:12" x14ac:dyDescent="0.2">
      <c r="A39" s="107"/>
      <c r="B39" s="34"/>
      <c r="C39" s="34"/>
      <c r="D39" s="34"/>
      <c r="E39" s="34"/>
      <c r="F39" s="34"/>
      <c r="G39" s="34"/>
      <c r="H39" s="34"/>
      <c r="K39" s="98"/>
      <c r="L39" s="98"/>
    </row>
    <row r="40" spans="1:12" x14ac:dyDescent="0.2">
      <c r="A40" s="35"/>
      <c r="B40" s="92"/>
      <c r="C40" s="92"/>
      <c r="D40" s="92"/>
      <c r="E40" s="92"/>
      <c r="F40" s="92"/>
      <c r="G40" s="92"/>
      <c r="H40" s="92"/>
    </row>
    <row r="41" spans="1:12" x14ac:dyDescent="0.2">
      <c r="A41" s="35"/>
      <c r="B41" s="92"/>
      <c r="C41" s="92"/>
      <c r="D41" s="93"/>
      <c r="E41" s="92"/>
      <c r="F41" s="92"/>
      <c r="G41" s="92"/>
      <c r="H41" s="92"/>
    </row>
    <row r="42" spans="1:12" x14ac:dyDescent="0.2">
      <c r="A42" s="35"/>
      <c r="B42" s="92"/>
      <c r="C42" s="92"/>
      <c r="D42" s="92"/>
      <c r="E42" s="92"/>
      <c r="F42" s="92"/>
      <c r="G42" s="92"/>
      <c r="H42" s="92"/>
    </row>
    <row r="43" spans="1:12" x14ac:dyDescent="0.2">
      <c r="A43" s="35"/>
      <c r="B43" s="92"/>
      <c r="C43" s="92"/>
      <c r="D43" s="92"/>
      <c r="E43" s="92"/>
      <c r="F43" s="92"/>
      <c r="G43" s="92"/>
      <c r="H43" s="92"/>
    </row>
    <row r="44" spans="1:12" x14ac:dyDescent="0.2">
      <c r="A44" s="35"/>
      <c r="B44" s="92"/>
      <c r="C44" s="92"/>
      <c r="D44" s="92"/>
      <c r="E44" s="92"/>
      <c r="F44" s="92"/>
      <c r="G44" s="92"/>
      <c r="H44" s="92"/>
    </row>
    <row r="45" spans="1:12" x14ac:dyDescent="0.2">
      <c r="A45" s="35"/>
      <c r="B45" s="92"/>
      <c r="C45" s="92"/>
      <c r="D45" s="92"/>
      <c r="E45" s="92"/>
      <c r="F45" s="92"/>
      <c r="G45" s="92"/>
      <c r="H45" s="92"/>
    </row>
    <row r="46" spans="1:12" x14ac:dyDescent="0.2">
      <c r="A46" s="35"/>
      <c r="B46" s="92"/>
      <c r="C46" s="92"/>
      <c r="D46" s="92"/>
      <c r="E46" s="92"/>
      <c r="F46" s="92"/>
      <c r="G46" s="92"/>
      <c r="H46" s="92"/>
    </row>
    <row r="47" spans="1:12" x14ac:dyDescent="0.2">
      <c r="A47" s="35"/>
      <c r="B47" s="92"/>
      <c r="C47" s="92"/>
      <c r="D47" s="92"/>
      <c r="E47" s="92"/>
      <c r="F47" s="92"/>
      <c r="G47" s="92"/>
      <c r="H47" s="92"/>
    </row>
    <row r="48" spans="1:12" x14ac:dyDescent="0.2">
      <c r="A48" s="35"/>
      <c r="B48" s="92"/>
      <c r="C48" s="92"/>
      <c r="D48" s="92"/>
      <c r="E48" s="92"/>
      <c r="F48" s="92"/>
      <c r="G48" s="92"/>
      <c r="H48" s="92"/>
    </row>
    <row r="49" spans="1:9" x14ac:dyDescent="0.2">
      <c r="A49" s="35"/>
      <c r="B49" s="92"/>
      <c r="C49" s="92"/>
      <c r="D49" s="92"/>
      <c r="E49" s="92"/>
      <c r="F49" s="92"/>
      <c r="G49" s="92"/>
      <c r="H49" s="92"/>
    </row>
    <row r="50" spans="1:9" x14ac:dyDescent="0.2">
      <c r="A50" s="35"/>
      <c r="B50" s="92"/>
      <c r="C50" s="92"/>
      <c r="D50" s="92"/>
      <c r="E50" s="92"/>
      <c r="F50" s="92"/>
      <c r="G50" s="92"/>
      <c r="H50" s="92"/>
    </row>
    <row r="51" spans="1:9" x14ac:dyDescent="0.2">
      <c r="A51" s="35"/>
      <c r="B51" s="92"/>
      <c r="C51" s="92"/>
      <c r="D51" s="92"/>
      <c r="E51" s="92"/>
      <c r="F51" s="92"/>
      <c r="G51" s="92"/>
      <c r="H51" s="92"/>
      <c r="I51" s="1"/>
    </row>
    <row r="52" spans="1:9" x14ac:dyDescent="0.2">
      <c r="A52" s="35"/>
      <c r="B52" s="92"/>
      <c r="C52" s="92"/>
      <c r="D52" s="92"/>
      <c r="E52" s="92"/>
      <c r="F52" s="92"/>
      <c r="G52" s="92"/>
      <c r="H52" s="92"/>
    </row>
    <row r="53" spans="1:9" x14ac:dyDescent="0.2">
      <c r="A53" s="35"/>
      <c r="B53" s="92"/>
      <c r="C53" s="92"/>
      <c r="D53" s="92"/>
      <c r="E53" s="92"/>
      <c r="F53" s="92"/>
      <c r="G53" s="92"/>
      <c r="H53" s="92"/>
    </row>
    <row r="54" spans="1:9" x14ac:dyDescent="0.2">
      <c r="A54" s="107"/>
      <c r="B54" s="94"/>
      <c r="C54" s="94"/>
      <c r="D54" s="94"/>
      <c r="E54" s="94"/>
      <c r="F54" s="94"/>
      <c r="G54" s="94"/>
      <c r="H54" s="94"/>
    </row>
    <row r="55" spans="1:9" x14ac:dyDescent="0.2">
      <c r="B55" s="1"/>
      <c r="C55" s="1"/>
      <c r="D55" s="1"/>
      <c r="E55" s="1"/>
      <c r="F55" s="1"/>
      <c r="G55" s="1"/>
      <c r="H55" s="1"/>
    </row>
    <row r="56" spans="1:9" x14ac:dyDescent="0.2">
      <c r="B56" s="1"/>
      <c r="C56" s="1"/>
      <c r="D56" s="1"/>
      <c r="E56" s="1"/>
      <c r="F56" s="1"/>
      <c r="G56" s="1"/>
      <c r="H56" s="1"/>
    </row>
  </sheetData>
  <mergeCells count="2">
    <mergeCell ref="A2:L2"/>
    <mergeCell ref="A4:A5"/>
  </mergeCells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>
    <oddHeader>&amp;R12. sz. melléklet
......../2025.(II.13.) Egyek Önk.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2"/>
  <sheetViews>
    <sheetView topLeftCell="A8" zoomScaleNormal="100" zoomScaleSheetLayoutView="100" workbookViewId="0">
      <selection activeCell="K13" sqref="K13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  <col min="13" max="13" width="13.7109375" style="452" bestFit="1" customWidth="1"/>
  </cols>
  <sheetData>
    <row r="2" spans="1:13" ht="15.75" x14ac:dyDescent="0.25">
      <c r="A2" s="954" t="s">
        <v>521</v>
      </c>
      <c r="B2" s="955"/>
      <c r="C2" s="955"/>
      <c r="D2" s="955"/>
      <c r="E2" s="955"/>
      <c r="F2" s="955"/>
      <c r="G2" s="955"/>
      <c r="H2" s="955"/>
      <c r="I2" s="956"/>
      <c r="J2" s="956"/>
      <c r="K2" s="956"/>
      <c r="L2" s="956"/>
    </row>
    <row r="3" spans="1:13" x14ac:dyDescent="0.2">
      <c r="L3" s="208"/>
    </row>
    <row r="4" spans="1:13" x14ac:dyDescent="0.2">
      <c r="E4" s="2"/>
      <c r="J4" s="98"/>
      <c r="L4" s="3"/>
    </row>
    <row r="5" spans="1:13" ht="13.5" thickBot="1" x14ac:dyDescent="0.25"/>
    <row r="6" spans="1:13" ht="102" customHeight="1" thickBot="1" x14ac:dyDescent="0.25">
      <c r="A6" s="905" t="s">
        <v>139</v>
      </c>
      <c r="B6" s="122" t="s">
        <v>155</v>
      </c>
      <c r="C6" s="122" t="s">
        <v>166</v>
      </c>
      <c r="D6" s="122" t="s">
        <v>157</v>
      </c>
      <c r="E6" s="122" t="s">
        <v>167</v>
      </c>
      <c r="F6" s="122" t="s">
        <v>163</v>
      </c>
      <c r="G6" s="122" t="s">
        <v>307</v>
      </c>
      <c r="H6" s="122" t="s">
        <v>159</v>
      </c>
      <c r="I6" s="122" t="s">
        <v>160</v>
      </c>
      <c r="J6" s="122" t="s">
        <v>161</v>
      </c>
      <c r="K6" s="122" t="s">
        <v>169</v>
      </c>
      <c r="L6" s="123" t="s">
        <v>24</v>
      </c>
      <c r="M6"/>
    </row>
    <row r="7" spans="1:13" ht="21" customHeight="1" thickBot="1" x14ac:dyDescent="0.25">
      <c r="A7" s="906"/>
      <c r="B7" s="160" t="s">
        <v>502</v>
      </c>
      <c r="C7" s="160" t="s">
        <v>502</v>
      </c>
      <c r="D7" s="160" t="s">
        <v>502</v>
      </c>
      <c r="E7" s="160" t="s">
        <v>502</v>
      </c>
      <c r="F7" s="160" t="s">
        <v>502</v>
      </c>
      <c r="G7" s="160" t="s">
        <v>502</v>
      </c>
      <c r="H7" s="160" t="s">
        <v>502</v>
      </c>
      <c r="I7" s="160" t="s">
        <v>502</v>
      </c>
      <c r="J7" s="160" t="s">
        <v>502</v>
      </c>
      <c r="K7" s="160" t="s">
        <v>502</v>
      </c>
      <c r="L7" s="160" t="s">
        <v>502</v>
      </c>
      <c r="M7"/>
    </row>
    <row r="8" spans="1:13" ht="21" customHeight="1" thickBot="1" x14ac:dyDescent="0.25">
      <c r="A8" s="838" t="s">
        <v>478</v>
      </c>
      <c r="B8" s="65">
        <v>42208657</v>
      </c>
      <c r="C8" s="65">
        <v>5819788</v>
      </c>
      <c r="D8" s="97">
        <v>22991000</v>
      </c>
      <c r="E8" s="97"/>
      <c r="F8" s="65"/>
      <c r="G8" s="65">
        <v>38755816</v>
      </c>
      <c r="H8" s="65">
        <v>3520000</v>
      </c>
      <c r="I8" s="97"/>
      <c r="J8" s="97"/>
      <c r="K8" s="65"/>
      <c r="L8" s="167">
        <f>SUM(B8:K8)</f>
        <v>113295261</v>
      </c>
      <c r="M8"/>
    </row>
    <row r="9" spans="1:13" ht="21" customHeight="1" thickBot="1" x14ac:dyDescent="0.25">
      <c r="A9" s="838" t="s">
        <v>146</v>
      </c>
      <c r="B9" s="65"/>
      <c r="C9" s="65"/>
      <c r="D9" s="97">
        <v>54000</v>
      </c>
      <c r="E9" s="97"/>
      <c r="F9" s="65">
        <v>9268000</v>
      </c>
      <c r="G9" s="65"/>
      <c r="H9" s="65">
        <v>5000000</v>
      </c>
      <c r="I9" s="97"/>
      <c r="J9" s="97"/>
      <c r="K9" s="65"/>
      <c r="L9" s="167">
        <f t="shared" ref="L9:L31" si="0">SUM(B9:K9)</f>
        <v>14322000</v>
      </c>
      <c r="M9"/>
    </row>
    <row r="10" spans="1:13" s="68" customFormat="1" ht="31.5" customHeight="1" thickBot="1" x14ac:dyDescent="0.25">
      <c r="A10" s="839" t="s">
        <v>140</v>
      </c>
      <c r="B10" s="97">
        <v>100000</v>
      </c>
      <c r="C10" s="97"/>
      <c r="D10" s="97">
        <v>31204000</v>
      </c>
      <c r="E10" s="97"/>
      <c r="F10" s="97"/>
      <c r="G10" s="97"/>
      <c r="H10" s="97">
        <v>93827139</v>
      </c>
      <c r="I10" s="97">
        <v>2000000</v>
      </c>
      <c r="J10" s="97"/>
      <c r="K10" s="97"/>
      <c r="L10" s="167">
        <f>SUM(B10:K10)</f>
        <v>127131139</v>
      </c>
    </row>
    <row r="11" spans="1:13" s="68" customFormat="1" ht="31.5" customHeight="1" thickBot="1" x14ac:dyDescent="0.25">
      <c r="A11" s="839" t="s">
        <v>479</v>
      </c>
      <c r="B11" s="97"/>
      <c r="C11" s="97"/>
      <c r="D11" s="97"/>
      <c r="E11" s="97"/>
      <c r="F11" s="97"/>
      <c r="G11" s="97"/>
      <c r="H11" s="97"/>
      <c r="I11" s="97"/>
      <c r="J11" s="97"/>
      <c r="K11" s="97">
        <v>12274215</v>
      </c>
      <c r="L11" s="167">
        <f t="shared" si="0"/>
        <v>12274215</v>
      </c>
    </row>
    <row r="12" spans="1:13" s="68" customFormat="1" ht="31.5" customHeight="1" thickBot="1" x14ac:dyDescent="0.25">
      <c r="A12" s="839" t="s">
        <v>306</v>
      </c>
      <c r="B12" s="97"/>
      <c r="C12" s="97"/>
      <c r="D12" s="97"/>
      <c r="E12" s="97"/>
      <c r="F12" s="97">
        <v>5419000</v>
      </c>
      <c r="G12" s="97"/>
      <c r="H12" s="97"/>
      <c r="I12" s="97"/>
      <c r="J12" s="97"/>
      <c r="K12" s="97">
        <f>'önkormányzat kiadásai 12. '!K10</f>
        <v>245216090</v>
      </c>
      <c r="L12" s="167">
        <f t="shared" si="0"/>
        <v>250635090</v>
      </c>
    </row>
    <row r="13" spans="1:13" s="68" customFormat="1" ht="21" customHeight="1" thickBot="1" x14ac:dyDescent="0.25">
      <c r="A13" s="840" t="s">
        <v>480</v>
      </c>
      <c r="B13" s="97"/>
      <c r="C13" s="97"/>
      <c r="D13" s="97"/>
      <c r="E13" s="97"/>
      <c r="F13" s="97">
        <v>13000000</v>
      </c>
      <c r="G13" s="97"/>
      <c r="H13" s="97"/>
      <c r="I13" s="97"/>
      <c r="J13" s="97"/>
      <c r="K13" s="97"/>
      <c r="L13" s="167">
        <f t="shared" si="0"/>
        <v>13000000</v>
      </c>
    </row>
    <row r="14" spans="1:13" s="68" customFormat="1" ht="21" customHeight="1" thickBot="1" x14ac:dyDescent="0.25">
      <c r="A14" s="841" t="s">
        <v>358</v>
      </c>
      <c r="B14" s="97">
        <v>24973000</v>
      </c>
      <c r="C14" s="97">
        <v>1623000</v>
      </c>
      <c r="D14" s="97"/>
      <c r="E14" s="97"/>
      <c r="F14" s="97"/>
      <c r="G14" s="97"/>
      <c r="H14" s="97"/>
      <c r="I14" s="97"/>
      <c r="J14" s="97"/>
      <c r="K14" s="97"/>
      <c r="L14" s="167">
        <f t="shared" si="0"/>
        <v>26596000</v>
      </c>
    </row>
    <row r="15" spans="1:13" s="68" customFormat="1" ht="21" customHeight="1" thickBot="1" x14ac:dyDescent="0.25">
      <c r="A15" s="841" t="s">
        <v>145</v>
      </c>
      <c r="B15" s="97">
        <v>309001864</v>
      </c>
      <c r="C15" s="97">
        <v>21430000</v>
      </c>
      <c r="D15" s="97">
        <v>60446536</v>
      </c>
      <c r="E15" s="97"/>
      <c r="F15" s="97">
        <v>2339000</v>
      </c>
      <c r="G15" s="97"/>
      <c r="H15" s="97">
        <v>3564463</v>
      </c>
      <c r="I15" s="97"/>
      <c r="J15" s="97"/>
      <c r="K15" s="97"/>
      <c r="L15" s="167">
        <f t="shared" si="0"/>
        <v>396781863</v>
      </c>
    </row>
    <row r="16" spans="1:13" s="68" customFormat="1" ht="21" customHeight="1" thickBot="1" x14ac:dyDescent="0.25">
      <c r="A16" s="841" t="s">
        <v>481</v>
      </c>
      <c r="B16" s="97">
        <v>5747400</v>
      </c>
      <c r="C16" s="97">
        <v>768000</v>
      </c>
      <c r="D16" s="97">
        <v>14898000</v>
      </c>
      <c r="E16" s="97"/>
      <c r="F16" s="97"/>
      <c r="G16" s="97"/>
      <c r="H16" s="97">
        <v>1000000</v>
      </c>
      <c r="I16" s="97"/>
      <c r="J16" s="97"/>
      <c r="K16" s="97"/>
      <c r="L16" s="167">
        <f t="shared" si="0"/>
        <v>22413400</v>
      </c>
    </row>
    <row r="17" spans="1:13" s="68" customFormat="1" ht="21" customHeight="1" thickBot="1" x14ac:dyDescent="0.25">
      <c r="A17" s="841" t="s">
        <v>482</v>
      </c>
      <c r="B17" s="97"/>
      <c r="C17" s="97"/>
      <c r="D17" s="97"/>
      <c r="E17" s="97"/>
      <c r="F17" s="97"/>
      <c r="G17" s="97"/>
      <c r="H17" s="97">
        <v>214064917</v>
      </c>
      <c r="I17" s="97"/>
      <c r="J17" s="97"/>
      <c r="K17" s="97"/>
      <c r="L17" s="167">
        <f t="shared" si="0"/>
        <v>214064917</v>
      </c>
    </row>
    <row r="18" spans="1:13" s="842" customFormat="1" ht="21" customHeight="1" thickBot="1" x14ac:dyDescent="0.25">
      <c r="A18" s="840" t="s">
        <v>483</v>
      </c>
      <c r="B18" s="97"/>
      <c r="C18" s="97"/>
      <c r="D18" s="97">
        <v>11262000</v>
      </c>
      <c r="E18" s="97"/>
      <c r="F18" s="97"/>
      <c r="G18" s="97"/>
      <c r="H18" s="97"/>
      <c r="I18" s="97"/>
      <c r="J18" s="97"/>
      <c r="K18" s="97"/>
      <c r="L18" s="167">
        <f t="shared" si="0"/>
        <v>11262000</v>
      </c>
    </row>
    <row r="19" spans="1:13" s="842" customFormat="1" ht="21" customHeight="1" thickBot="1" x14ac:dyDescent="0.25">
      <c r="A19" s="843" t="s">
        <v>484</v>
      </c>
      <c r="B19" s="548"/>
      <c r="C19" s="97"/>
      <c r="D19" s="97">
        <v>3067000</v>
      </c>
      <c r="E19" s="97"/>
      <c r="F19" s="97"/>
      <c r="G19" s="97"/>
      <c r="H19" s="97"/>
      <c r="I19" s="97"/>
      <c r="J19" s="97"/>
      <c r="K19" s="97"/>
      <c r="L19" s="167">
        <f t="shared" si="0"/>
        <v>3067000</v>
      </c>
    </row>
    <row r="20" spans="1:13" s="842" customFormat="1" ht="21" customHeight="1" thickBot="1" x14ac:dyDescent="0.25">
      <c r="A20" s="843" t="s">
        <v>359</v>
      </c>
      <c r="B20" s="548"/>
      <c r="C20" s="97"/>
      <c r="D20" s="97">
        <v>721000</v>
      </c>
      <c r="E20" s="97"/>
      <c r="F20" s="97"/>
      <c r="G20" s="97"/>
      <c r="H20" s="97"/>
      <c r="I20" s="97"/>
      <c r="J20" s="97"/>
      <c r="K20" s="97"/>
      <c r="L20" s="167">
        <f t="shared" si="0"/>
        <v>721000</v>
      </c>
    </row>
    <row r="21" spans="1:13" s="842" customFormat="1" ht="21" customHeight="1" thickBot="1" x14ac:dyDescent="0.25">
      <c r="A21" s="844" t="s">
        <v>485</v>
      </c>
      <c r="B21" s="548"/>
      <c r="C21" s="97"/>
      <c r="D21" s="97">
        <v>635000</v>
      </c>
      <c r="E21" s="97"/>
      <c r="F21" s="97"/>
      <c r="G21" s="97"/>
      <c r="H21" s="97"/>
      <c r="I21" s="97"/>
      <c r="J21" s="97"/>
      <c r="K21" s="97"/>
      <c r="L21" s="167">
        <f t="shared" si="0"/>
        <v>635000</v>
      </c>
    </row>
    <row r="22" spans="1:13" s="105" customFormat="1" ht="21" customHeight="1" thickBot="1" x14ac:dyDescent="0.25">
      <c r="A22" s="844" t="s">
        <v>486</v>
      </c>
      <c r="B22" s="845"/>
      <c r="C22" s="65"/>
      <c r="D22" s="97"/>
      <c r="E22" s="97"/>
      <c r="F22" s="65"/>
      <c r="G22" s="65"/>
      <c r="H22" s="65">
        <v>6000000</v>
      </c>
      <c r="I22" s="97"/>
      <c r="J22" s="97"/>
      <c r="K22" s="65"/>
      <c r="L22" s="167">
        <f t="shared" si="0"/>
        <v>6000000</v>
      </c>
    </row>
    <row r="23" spans="1:13" s="842" customFormat="1" ht="21" customHeight="1" thickBot="1" x14ac:dyDescent="0.25">
      <c r="A23" s="839" t="s">
        <v>487</v>
      </c>
      <c r="B23" s="97"/>
      <c r="C23" s="97"/>
      <c r="D23" s="97">
        <v>25606500</v>
      </c>
      <c r="E23" s="97"/>
      <c r="F23" s="97"/>
      <c r="G23" s="97"/>
      <c r="H23" s="97"/>
      <c r="I23" s="97"/>
      <c r="J23" s="97"/>
      <c r="K23" s="97"/>
      <c r="L23" s="167">
        <f t="shared" si="0"/>
        <v>25606500</v>
      </c>
    </row>
    <row r="24" spans="1:13" s="842" customFormat="1" ht="21" customHeight="1" thickBot="1" x14ac:dyDescent="0.25">
      <c r="A24" s="840" t="s">
        <v>141</v>
      </c>
      <c r="B24" s="97">
        <f>29138550-4529600</f>
        <v>24608950</v>
      </c>
      <c r="C24" s="97">
        <f>3935000-588900</f>
        <v>3346100</v>
      </c>
      <c r="D24" s="97">
        <v>10109000</v>
      </c>
      <c r="E24" s="97"/>
      <c r="F24" s="97"/>
      <c r="G24" s="97"/>
      <c r="H24" s="97">
        <v>5000000</v>
      </c>
      <c r="I24" s="97"/>
      <c r="J24" s="97"/>
      <c r="K24" s="97"/>
      <c r="L24" s="167">
        <f t="shared" si="0"/>
        <v>43064050</v>
      </c>
    </row>
    <row r="25" spans="1:13" s="68" customFormat="1" ht="21" customHeight="1" thickBot="1" x14ac:dyDescent="0.25">
      <c r="A25" s="840" t="s">
        <v>170</v>
      </c>
      <c r="B25" s="97">
        <v>42927700</v>
      </c>
      <c r="C25" s="97">
        <v>5319000</v>
      </c>
      <c r="D25" s="97">
        <v>44691077</v>
      </c>
      <c r="E25" s="97"/>
      <c r="F25" s="97"/>
      <c r="G25" s="97"/>
      <c r="H25" s="97">
        <v>600000</v>
      </c>
      <c r="I25" s="97"/>
      <c r="J25" s="97"/>
      <c r="K25" s="97"/>
      <c r="L25" s="167">
        <f t="shared" si="0"/>
        <v>93537777</v>
      </c>
    </row>
    <row r="26" spans="1:13" s="68" customFormat="1" ht="21" customHeight="1" thickBot="1" x14ac:dyDescent="0.25">
      <c r="A26" s="840" t="s">
        <v>559</v>
      </c>
      <c r="B26" s="97">
        <v>252480</v>
      </c>
      <c r="C26" s="97">
        <v>29520</v>
      </c>
      <c r="D26" s="97"/>
      <c r="E26" s="97"/>
      <c r="F26" s="97"/>
      <c r="G26" s="97"/>
      <c r="H26" s="97"/>
      <c r="I26" s="97"/>
      <c r="J26" s="97"/>
      <c r="K26" s="97"/>
      <c r="L26" s="167">
        <f t="shared" si="0"/>
        <v>282000</v>
      </c>
    </row>
    <row r="27" spans="1:13" s="68" customFormat="1" ht="21" customHeight="1" thickBot="1" x14ac:dyDescent="0.25">
      <c r="A27" s="841" t="s">
        <v>558</v>
      </c>
      <c r="B27" s="97">
        <v>1000000</v>
      </c>
      <c r="C27" s="97">
        <v>330400</v>
      </c>
      <c r="D27" s="97">
        <v>1000000</v>
      </c>
      <c r="E27" s="97"/>
      <c r="F27" s="97"/>
      <c r="G27" s="97"/>
      <c r="H27" s="97"/>
      <c r="I27" s="97"/>
      <c r="J27" s="97"/>
      <c r="K27" s="97"/>
      <c r="L27" s="167">
        <f t="shared" si="0"/>
        <v>2330400</v>
      </c>
    </row>
    <row r="28" spans="1:13" s="68" customFormat="1" ht="21" customHeight="1" thickBot="1" x14ac:dyDescent="0.25">
      <c r="A28" s="841" t="s">
        <v>488</v>
      </c>
      <c r="B28" s="97"/>
      <c r="C28" s="97"/>
      <c r="D28" s="97">
        <v>17054000</v>
      </c>
      <c r="E28" s="97"/>
      <c r="F28" s="97"/>
      <c r="G28" s="97"/>
      <c r="H28" s="97"/>
      <c r="I28" s="97"/>
      <c r="J28" s="97"/>
      <c r="K28" s="97"/>
      <c r="L28" s="167">
        <f t="shared" si="0"/>
        <v>17054000</v>
      </c>
    </row>
    <row r="29" spans="1:13" s="68" customFormat="1" ht="28.5" customHeight="1" thickBot="1" x14ac:dyDescent="0.25">
      <c r="A29" s="846" t="s">
        <v>489</v>
      </c>
      <c r="B29" s="97"/>
      <c r="C29" s="97"/>
      <c r="D29" s="97">
        <v>4058000</v>
      </c>
      <c r="E29" s="97"/>
      <c r="F29" s="97"/>
      <c r="G29" s="97"/>
      <c r="H29" s="97"/>
      <c r="I29" s="97"/>
      <c r="J29" s="97"/>
      <c r="K29" s="97"/>
      <c r="L29" s="167">
        <f t="shared" si="0"/>
        <v>4058000</v>
      </c>
    </row>
    <row r="30" spans="1:13" s="68" customFormat="1" ht="31.9" customHeight="1" thickBot="1" x14ac:dyDescent="0.25">
      <c r="A30" s="848" t="s">
        <v>490</v>
      </c>
      <c r="B30" s="97"/>
      <c r="C30" s="97"/>
      <c r="D30" s="97"/>
      <c r="E30" s="97">
        <v>19733000</v>
      </c>
      <c r="F30" s="97"/>
      <c r="G30" s="97"/>
      <c r="H30" s="97"/>
      <c r="I30" s="97"/>
      <c r="J30" s="97"/>
      <c r="K30" s="97"/>
      <c r="L30" s="167">
        <f t="shared" si="0"/>
        <v>19733000</v>
      </c>
    </row>
    <row r="31" spans="1:13" ht="30.75" customHeight="1" thickBot="1" x14ac:dyDescent="0.25">
      <c r="A31" s="849" t="s">
        <v>491</v>
      </c>
      <c r="B31" s="65"/>
      <c r="C31" s="65"/>
      <c r="D31" s="97">
        <v>11048000</v>
      </c>
      <c r="E31" s="97"/>
      <c r="F31" s="65"/>
      <c r="G31" s="65"/>
      <c r="H31" s="65"/>
      <c r="I31" s="97"/>
      <c r="J31" s="65"/>
      <c r="K31" s="65">
        <v>52103363</v>
      </c>
      <c r="L31" s="167">
        <f t="shared" si="0"/>
        <v>63151363</v>
      </c>
      <c r="M31"/>
    </row>
    <row r="32" spans="1:13" ht="21" customHeight="1" thickBot="1" x14ac:dyDescent="0.25">
      <c r="A32" s="102" t="s">
        <v>13</v>
      </c>
      <c r="B32" s="106">
        <f t="shared" ref="B32:K32" si="1">SUM(B8:B31)</f>
        <v>450820051</v>
      </c>
      <c r="C32" s="106">
        <f t="shared" si="1"/>
        <v>38665808</v>
      </c>
      <c r="D32" s="106">
        <f t="shared" si="1"/>
        <v>258845113</v>
      </c>
      <c r="E32" s="106">
        <f t="shared" si="1"/>
        <v>19733000</v>
      </c>
      <c r="F32" s="106">
        <f t="shared" si="1"/>
        <v>30026000</v>
      </c>
      <c r="G32" s="106">
        <f t="shared" si="1"/>
        <v>38755816</v>
      </c>
      <c r="H32" s="106">
        <f t="shared" si="1"/>
        <v>332576519</v>
      </c>
      <c r="I32" s="106">
        <f t="shared" si="1"/>
        <v>2000000</v>
      </c>
      <c r="J32" s="106">
        <f t="shared" si="1"/>
        <v>0</v>
      </c>
      <c r="K32" s="106">
        <f t="shared" si="1"/>
        <v>309593668</v>
      </c>
      <c r="L32" s="167">
        <f>SUM(B32:K32)</f>
        <v>1481015975</v>
      </c>
      <c r="M32"/>
    </row>
  </sheetData>
  <mergeCells count="2">
    <mergeCell ref="A2:L2"/>
    <mergeCell ref="A6:A7"/>
  </mergeCells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>
    <oddHeader>&amp;R13. sz. melléklet
......../2025.(II.13.) Egyek Önk.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5"/>
  <sheetViews>
    <sheetView topLeftCell="B1" zoomScaleNormal="100" workbookViewId="0">
      <selection activeCell="J20" sqref="J20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954" t="s">
        <v>522</v>
      </c>
      <c r="B2" s="955"/>
      <c r="C2" s="955"/>
      <c r="D2" s="955"/>
      <c r="E2" s="955"/>
      <c r="F2" s="955"/>
      <c r="G2" s="955"/>
      <c r="H2" s="955"/>
      <c r="I2" s="956"/>
      <c r="J2" s="956"/>
      <c r="K2" s="956"/>
      <c r="L2" s="956"/>
    </row>
    <row r="3" spans="1:12" x14ac:dyDescent="0.2">
      <c r="L3" s="208"/>
    </row>
    <row r="4" spans="1:12" x14ac:dyDescent="0.2">
      <c r="E4" s="2"/>
      <c r="J4" s="98"/>
      <c r="L4" s="3"/>
    </row>
    <row r="5" spans="1:12" ht="13.5" thickBot="1" x14ac:dyDescent="0.25"/>
    <row r="6" spans="1:12" ht="102" customHeight="1" thickBot="1" x14ac:dyDescent="0.25">
      <c r="A6" s="905" t="s">
        <v>139</v>
      </c>
      <c r="B6" s="122" t="s">
        <v>155</v>
      </c>
      <c r="C6" s="122" t="s">
        <v>166</v>
      </c>
      <c r="D6" s="122" t="s">
        <v>157</v>
      </c>
      <c r="E6" s="122" t="s">
        <v>167</v>
      </c>
      <c r="F6" s="122" t="s">
        <v>163</v>
      </c>
      <c r="G6" s="122" t="s">
        <v>307</v>
      </c>
      <c r="H6" s="122" t="s">
        <v>159</v>
      </c>
      <c r="I6" s="122" t="s">
        <v>160</v>
      </c>
      <c r="J6" s="122" t="s">
        <v>161</v>
      </c>
      <c r="K6" s="122" t="s">
        <v>169</v>
      </c>
      <c r="L6" s="123" t="s">
        <v>24</v>
      </c>
    </row>
    <row r="7" spans="1:12" ht="21" customHeight="1" thickBot="1" x14ac:dyDescent="0.25">
      <c r="A7" s="906"/>
      <c r="B7" s="160" t="s">
        <v>502</v>
      </c>
      <c r="C7" s="160" t="s">
        <v>502</v>
      </c>
      <c r="D7" s="160" t="s">
        <v>502</v>
      </c>
      <c r="E7" s="160" t="s">
        <v>502</v>
      </c>
      <c r="F7" s="160" t="s">
        <v>502</v>
      </c>
      <c r="G7" s="160" t="s">
        <v>502</v>
      </c>
      <c r="H7" s="160" t="s">
        <v>502</v>
      </c>
      <c r="I7" s="160" t="s">
        <v>502</v>
      </c>
      <c r="J7" s="160" t="s">
        <v>502</v>
      </c>
      <c r="K7" s="160" t="s">
        <v>502</v>
      </c>
      <c r="L7" s="160" t="s">
        <v>502</v>
      </c>
    </row>
    <row r="8" spans="1:12" ht="31.5" customHeight="1" thickBot="1" x14ac:dyDescent="0.25">
      <c r="A8" s="547" t="s">
        <v>306</v>
      </c>
      <c r="B8" s="548"/>
      <c r="C8" s="97"/>
      <c r="D8" s="97"/>
      <c r="E8" s="97"/>
      <c r="F8" s="97">
        <v>30100000</v>
      </c>
      <c r="G8" s="97"/>
      <c r="H8" s="97"/>
      <c r="I8" s="97"/>
      <c r="J8" s="97"/>
      <c r="K8" s="97"/>
      <c r="L8" s="167">
        <f t="shared" ref="L8:L14" si="0">SUM(B8:K8)</f>
        <v>30100000</v>
      </c>
    </row>
    <row r="9" spans="1:12" s="105" customFormat="1" ht="21" customHeight="1" thickBot="1" x14ac:dyDescent="0.25">
      <c r="A9" s="549" t="s">
        <v>141</v>
      </c>
      <c r="B9" s="97">
        <v>4529600</v>
      </c>
      <c r="C9" s="97">
        <v>588900</v>
      </c>
      <c r="D9" s="97"/>
      <c r="E9" s="97"/>
      <c r="F9" s="97"/>
      <c r="G9" s="97"/>
      <c r="H9" s="97"/>
      <c r="I9" s="97"/>
      <c r="J9" s="97"/>
      <c r="K9" s="97"/>
      <c r="L9" s="167">
        <f t="shared" si="0"/>
        <v>5118500</v>
      </c>
    </row>
    <row r="10" spans="1:12" s="68" customFormat="1" ht="21" customHeight="1" thickBot="1" x14ac:dyDescent="0.25">
      <c r="A10" s="840" t="s">
        <v>171</v>
      </c>
      <c r="B10" s="97"/>
      <c r="C10" s="97"/>
      <c r="D10" s="97">
        <v>9292000</v>
      </c>
      <c r="E10" s="97"/>
      <c r="F10" s="97"/>
      <c r="G10" s="97"/>
      <c r="H10" s="97">
        <v>100000</v>
      </c>
      <c r="I10" s="97"/>
      <c r="J10" s="97"/>
      <c r="K10" s="97"/>
      <c r="L10" s="167">
        <f t="shared" ref="L10:L11" si="1">SUM(B10:K10)</f>
        <v>9392000</v>
      </c>
    </row>
    <row r="11" spans="1:12" s="68" customFormat="1" ht="21" customHeight="1" thickBot="1" x14ac:dyDescent="0.25">
      <c r="A11" s="841" t="s">
        <v>292</v>
      </c>
      <c r="B11" s="97"/>
      <c r="C11" s="97"/>
      <c r="D11" s="97"/>
      <c r="E11" s="97"/>
      <c r="F11" s="97">
        <v>7300000</v>
      </c>
      <c r="G11" s="97"/>
      <c r="H11" s="97"/>
      <c r="I11" s="97"/>
      <c r="J11" s="97"/>
      <c r="K11" s="97"/>
      <c r="L11" s="167">
        <f t="shared" si="1"/>
        <v>7300000</v>
      </c>
    </row>
    <row r="12" spans="1:12" ht="21" customHeight="1" thickBot="1" x14ac:dyDescent="0.25">
      <c r="A12" s="550" t="s">
        <v>239</v>
      </c>
      <c r="B12" s="97"/>
      <c r="C12" s="97"/>
      <c r="D12" s="97"/>
      <c r="E12" s="97">
        <v>30000</v>
      </c>
      <c r="F12" s="97"/>
      <c r="G12" s="97"/>
      <c r="H12" s="97"/>
      <c r="I12" s="97"/>
      <c r="J12" s="97"/>
      <c r="K12" s="97"/>
      <c r="L12" s="167">
        <f t="shared" si="0"/>
        <v>30000</v>
      </c>
    </row>
    <row r="13" spans="1:12" ht="21" customHeight="1" thickBot="1" x14ac:dyDescent="0.25">
      <c r="A13" s="841" t="s">
        <v>144</v>
      </c>
      <c r="B13" s="97">
        <v>6356450</v>
      </c>
      <c r="C13" s="97">
        <v>862000</v>
      </c>
      <c r="D13" s="97">
        <v>2381000</v>
      </c>
      <c r="E13" s="97"/>
      <c r="F13" s="97"/>
      <c r="G13" s="97"/>
      <c r="H13" s="97">
        <v>150000</v>
      </c>
      <c r="I13" s="847"/>
      <c r="J13" s="847"/>
      <c r="K13" s="97"/>
      <c r="L13" s="167">
        <f t="shared" ref="L13" si="2">SUM(B13:K13)</f>
        <v>9749450</v>
      </c>
    </row>
    <row r="14" spans="1:12" ht="21" customHeight="1" thickBot="1" x14ac:dyDescent="0.25">
      <c r="A14" s="550" t="s">
        <v>172</v>
      </c>
      <c r="B14" s="97"/>
      <c r="C14" s="97"/>
      <c r="D14" s="97"/>
      <c r="E14" s="97"/>
      <c r="F14" s="97">
        <v>3000000</v>
      </c>
      <c r="G14" s="97"/>
      <c r="H14" s="97"/>
      <c r="I14" s="97"/>
      <c r="J14" s="97"/>
      <c r="K14" s="97"/>
      <c r="L14" s="167">
        <f t="shared" si="0"/>
        <v>3000000</v>
      </c>
    </row>
    <row r="15" spans="1:12" ht="21" customHeight="1" thickBot="1" x14ac:dyDescent="0.25">
      <c r="A15" s="102" t="s">
        <v>13</v>
      </c>
      <c r="B15" s="106">
        <f t="shared" ref="B15:K15" si="3">SUM(B8:B14)</f>
        <v>10886050</v>
      </c>
      <c r="C15" s="106">
        <f t="shared" si="3"/>
        <v>1450900</v>
      </c>
      <c r="D15" s="106">
        <f t="shared" si="3"/>
        <v>11673000</v>
      </c>
      <c r="E15" s="106">
        <f t="shared" si="3"/>
        <v>30000</v>
      </c>
      <c r="F15" s="106">
        <f t="shared" si="3"/>
        <v>40400000</v>
      </c>
      <c r="G15" s="106">
        <f t="shared" si="3"/>
        <v>0</v>
      </c>
      <c r="H15" s="106">
        <f t="shared" si="3"/>
        <v>250000</v>
      </c>
      <c r="I15" s="106">
        <f t="shared" si="3"/>
        <v>0</v>
      </c>
      <c r="J15" s="106">
        <f t="shared" si="3"/>
        <v>0</v>
      </c>
      <c r="K15" s="106">
        <f t="shared" si="3"/>
        <v>0</v>
      </c>
      <c r="L15" s="167">
        <f>SUM(L8:L14)</f>
        <v>64689950</v>
      </c>
    </row>
  </sheetData>
  <mergeCells count="2">
    <mergeCell ref="A2:L2"/>
    <mergeCell ref="A6:A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Header xml:space="preserve">&amp;R14. sz. melléklet
........../2025.(II.13.) Egyek Önk.
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>
    <pageSetUpPr fitToPage="1"/>
  </sheetPr>
  <dimension ref="A3:M34"/>
  <sheetViews>
    <sheetView zoomScaleNormal="100" workbookViewId="0">
      <selection activeCell="E18" sqref="E18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1" max="11" width="14.28515625" customWidth="1"/>
    <col min="12" max="12" width="16.5703125" customWidth="1"/>
  </cols>
  <sheetData>
    <row r="3" spans="1:13" ht="15.75" x14ac:dyDescent="0.25">
      <c r="A3" s="954"/>
      <c r="B3" s="955"/>
      <c r="C3" s="955"/>
      <c r="D3" s="955"/>
      <c r="E3" s="955"/>
      <c r="F3" s="955"/>
      <c r="G3" s="955"/>
      <c r="H3" s="955"/>
      <c r="I3" s="956"/>
    </row>
    <row r="5" spans="1:13" ht="12.75" customHeight="1" x14ac:dyDescent="0.2">
      <c r="A5" s="959" t="s">
        <v>523</v>
      </c>
      <c r="B5" s="959"/>
      <c r="C5" s="959"/>
      <c r="D5" s="959"/>
      <c r="E5" s="959"/>
      <c r="F5" s="959"/>
      <c r="G5" s="959"/>
      <c r="H5" s="959"/>
      <c r="I5" s="959"/>
      <c r="J5" s="959"/>
      <c r="K5" s="959"/>
      <c r="L5" s="959"/>
    </row>
    <row r="6" spans="1:13" ht="12.75" customHeight="1" x14ac:dyDescent="0.2">
      <c r="A6" s="959"/>
      <c r="B6" s="959"/>
      <c r="C6" s="959"/>
      <c r="D6" s="959"/>
      <c r="E6" s="959"/>
      <c r="F6" s="959"/>
      <c r="G6" s="959"/>
      <c r="H6" s="959"/>
      <c r="I6" s="959"/>
      <c r="J6" s="959"/>
      <c r="K6" s="959"/>
      <c r="L6" s="959"/>
    </row>
    <row r="7" spans="1:13" ht="13.5" thickBot="1" x14ac:dyDescent="0.25">
      <c r="I7" s="208"/>
    </row>
    <row r="8" spans="1:13" ht="102" customHeight="1" thickBot="1" x14ac:dyDescent="0.25">
      <c r="A8" s="957" t="s">
        <v>139</v>
      </c>
      <c r="B8" s="445" t="s">
        <v>155</v>
      </c>
      <c r="C8" s="206" t="s">
        <v>166</v>
      </c>
      <c r="D8" s="206" t="s">
        <v>157</v>
      </c>
      <c r="E8" s="206" t="s">
        <v>167</v>
      </c>
      <c r="F8" s="206" t="s">
        <v>163</v>
      </c>
      <c r="G8" s="206" t="s">
        <v>168</v>
      </c>
      <c r="H8" s="206" t="s">
        <v>159</v>
      </c>
      <c r="I8" s="206" t="s">
        <v>160</v>
      </c>
      <c r="J8" s="206" t="s">
        <v>161</v>
      </c>
      <c r="K8" s="206" t="s">
        <v>169</v>
      </c>
      <c r="L8" s="207" t="s">
        <v>24</v>
      </c>
    </row>
    <row r="9" spans="1:13" ht="21" customHeight="1" thickBot="1" x14ac:dyDescent="0.25">
      <c r="A9" s="958"/>
      <c r="B9" s="160" t="s">
        <v>502</v>
      </c>
      <c r="C9" s="160" t="s">
        <v>502</v>
      </c>
      <c r="D9" s="160" t="s">
        <v>502</v>
      </c>
      <c r="E9" s="160" t="s">
        <v>502</v>
      </c>
      <c r="F9" s="160" t="s">
        <v>502</v>
      </c>
      <c r="G9" s="160" t="s">
        <v>502</v>
      </c>
      <c r="H9" s="160" t="s">
        <v>502</v>
      </c>
      <c r="I9" s="160" t="s">
        <v>502</v>
      </c>
      <c r="J9" s="160" t="s">
        <v>502</v>
      </c>
      <c r="K9" s="160" t="s">
        <v>502</v>
      </c>
      <c r="L9" s="160" t="s">
        <v>502</v>
      </c>
      <c r="M9" s="160"/>
    </row>
    <row r="10" spans="1:13" ht="40.5" customHeight="1" x14ac:dyDescent="0.2">
      <c r="A10" s="446" t="s">
        <v>147</v>
      </c>
      <c r="B10" s="424">
        <v>161849210</v>
      </c>
      <c r="C10" s="424">
        <v>20446000</v>
      </c>
      <c r="D10" s="439">
        <v>21810000</v>
      </c>
      <c r="E10" s="424"/>
      <c r="F10" s="440"/>
      <c r="G10" s="440"/>
      <c r="H10" s="440">
        <v>3761000</v>
      </c>
      <c r="I10" s="441"/>
      <c r="J10" s="442"/>
      <c r="K10" s="443"/>
      <c r="L10" s="444">
        <f>SUM(B10:K10)</f>
        <v>207866210</v>
      </c>
    </row>
    <row r="11" spans="1:13" ht="40.5" customHeight="1" thickBot="1" x14ac:dyDescent="0.25">
      <c r="A11" s="645" t="s">
        <v>148</v>
      </c>
      <c r="B11" s="201">
        <v>15268880</v>
      </c>
      <c r="C11" s="639">
        <v>2162800</v>
      </c>
      <c r="D11" s="640"/>
      <c r="E11" s="639"/>
      <c r="F11" s="641"/>
      <c r="G11" s="641"/>
      <c r="H11" s="641">
        <v>0</v>
      </c>
      <c r="I11" s="642"/>
      <c r="J11" s="643"/>
      <c r="K11" s="644"/>
      <c r="L11" s="444">
        <f>SUM(B11:K11)</f>
        <v>17431680</v>
      </c>
    </row>
    <row r="12" spans="1:13" s="69" customFormat="1" ht="21" customHeight="1" thickBot="1" x14ac:dyDescent="0.25">
      <c r="A12" s="102" t="s">
        <v>13</v>
      </c>
      <c r="B12" s="646">
        <f t="shared" ref="B12:L12" si="0">SUM(B10:B11)</f>
        <v>177118090</v>
      </c>
      <c r="C12" s="646">
        <f t="shared" si="0"/>
        <v>22608800</v>
      </c>
      <c r="D12" s="646">
        <f t="shared" si="0"/>
        <v>21810000</v>
      </c>
      <c r="E12" s="646">
        <f t="shared" si="0"/>
        <v>0</v>
      </c>
      <c r="F12" s="646">
        <f t="shared" si="0"/>
        <v>0</v>
      </c>
      <c r="G12" s="646">
        <f t="shared" si="0"/>
        <v>0</v>
      </c>
      <c r="H12" s="646">
        <f t="shared" si="0"/>
        <v>3761000</v>
      </c>
      <c r="I12" s="646">
        <f t="shared" si="0"/>
        <v>0</v>
      </c>
      <c r="J12" s="646">
        <f t="shared" si="0"/>
        <v>0</v>
      </c>
      <c r="K12" s="646">
        <f t="shared" si="0"/>
        <v>0</v>
      </c>
      <c r="L12" s="646">
        <f t="shared" si="0"/>
        <v>225297890</v>
      </c>
    </row>
    <row r="14" spans="1:13" x14ac:dyDescent="0.2">
      <c r="I14" s="2"/>
    </row>
    <row r="16" spans="1:13" x14ac:dyDescent="0.2">
      <c r="A16" s="30"/>
      <c r="B16" s="31"/>
      <c r="C16" s="31"/>
      <c r="D16" s="31" t="s">
        <v>109</v>
      </c>
      <c r="E16" s="31"/>
      <c r="F16" s="32"/>
      <c r="G16" s="32"/>
      <c r="H16" s="32"/>
    </row>
    <row r="17" spans="1:8" x14ac:dyDescent="0.2">
      <c r="A17" s="33"/>
      <c r="B17" s="34"/>
      <c r="C17" s="34"/>
      <c r="D17" s="34"/>
      <c r="E17" s="34"/>
      <c r="F17" s="34"/>
      <c r="G17" s="34"/>
      <c r="H17" s="34"/>
    </row>
    <row r="18" spans="1:8" x14ac:dyDescent="0.2">
      <c r="A18" s="35"/>
      <c r="B18" s="92"/>
      <c r="C18" s="92"/>
      <c r="D18" s="92"/>
      <c r="E18" s="92"/>
      <c r="F18" s="15"/>
      <c r="G18" s="15"/>
      <c r="H18" s="15"/>
    </row>
    <row r="19" spans="1:8" x14ac:dyDescent="0.2">
      <c r="A19" s="35"/>
      <c r="B19" s="92"/>
      <c r="C19" s="92"/>
      <c r="D19" s="93"/>
      <c r="E19" s="92"/>
      <c r="F19" s="15"/>
      <c r="G19" s="15"/>
      <c r="H19" s="15"/>
    </row>
    <row r="20" spans="1:8" x14ac:dyDescent="0.2">
      <c r="A20" s="35"/>
      <c r="B20" s="92"/>
      <c r="C20" s="92"/>
      <c r="D20" s="92"/>
      <c r="E20" s="92"/>
      <c r="F20" s="15"/>
      <c r="G20" s="15"/>
      <c r="H20" s="15"/>
    </row>
    <row r="21" spans="1:8" x14ac:dyDescent="0.2">
      <c r="A21" s="35"/>
      <c r="B21" s="92"/>
      <c r="C21" s="92"/>
      <c r="D21" s="92"/>
      <c r="E21" s="92"/>
      <c r="F21" s="15"/>
      <c r="G21" s="15"/>
      <c r="H21" s="15"/>
    </row>
    <row r="22" spans="1:8" x14ac:dyDescent="0.2">
      <c r="A22" s="35"/>
      <c r="B22" s="92"/>
      <c r="C22" s="92"/>
      <c r="D22" s="92"/>
      <c r="E22" s="92"/>
      <c r="F22" s="15"/>
      <c r="G22" s="15"/>
      <c r="H22" s="15"/>
    </row>
    <row r="23" spans="1:8" x14ac:dyDescent="0.2">
      <c r="A23" s="35"/>
      <c r="B23" s="92"/>
      <c r="C23" s="92"/>
      <c r="D23" s="92"/>
      <c r="E23" s="92"/>
      <c r="F23" s="15"/>
      <c r="G23" s="15"/>
      <c r="H23" s="15"/>
    </row>
    <row r="24" spans="1:8" x14ac:dyDescent="0.2">
      <c r="A24" s="35"/>
      <c r="B24" s="92"/>
      <c r="C24" s="92"/>
      <c r="D24" s="92"/>
      <c r="E24" s="92"/>
      <c r="F24" s="15"/>
      <c r="G24" s="15"/>
      <c r="H24" s="15"/>
    </row>
    <row r="25" spans="1:8" x14ac:dyDescent="0.2">
      <c r="A25" s="35"/>
      <c r="B25" s="92"/>
      <c r="C25" s="92"/>
      <c r="D25" s="92"/>
      <c r="E25" s="92"/>
      <c r="F25" s="15"/>
      <c r="G25" s="15"/>
      <c r="H25" s="15"/>
    </row>
    <row r="26" spans="1:8" x14ac:dyDescent="0.2">
      <c r="A26" s="35"/>
      <c r="B26" s="92"/>
      <c r="C26" s="92"/>
      <c r="D26" s="92"/>
      <c r="E26" s="92"/>
      <c r="F26" s="15"/>
      <c r="G26" s="15"/>
      <c r="H26" s="15"/>
    </row>
    <row r="27" spans="1:8" x14ac:dyDescent="0.2">
      <c r="A27" s="35"/>
      <c r="B27" s="92"/>
      <c r="C27" s="92"/>
      <c r="D27" s="92"/>
      <c r="E27" s="92"/>
      <c r="F27" s="15"/>
      <c r="G27" s="15"/>
      <c r="H27" s="15"/>
    </row>
    <row r="28" spans="1:8" x14ac:dyDescent="0.2">
      <c r="A28" s="35"/>
      <c r="B28" s="92"/>
      <c r="C28" s="92"/>
      <c r="D28" s="92"/>
      <c r="E28" s="92"/>
      <c r="F28" s="15"/>
      <c r="G28" s="15"/>
      <c r="H28" s="15"/>
    </row>
    <row r="29" spans="1:8" x14ac:dyDescent="0.2">
      <c r="A29" s="35"/>
      <c r="B29" s="92"/>
      <c r="C29" s="92"/>
      <c r="D29" s="92"/>
      <c r="E29" s="92"/>
      <c r="F29" s="15"/>
      <c r="G29" s="15"/>
      <c r="H29" s="15"/>
    </row>
    <row r="30" spans="1:8" x14ac:dyDescent="0.2">
      <c r="A30" s="35"/>
      <c r="B30" s="92"/>
      <c r="C30" s="92"/>
      <c r="D30" s="92"/>
      <c r="E30" s="92"/>
      <c r="F30" s="15"/>
      <c r="G30" s="15"/>
      <c r="H30" s="15"/>
    </row>
    <row r="31" spans="1:8" x14ac:dyDescent="0.2">
      <c r="A31" s="35"/>
      <c r="B31" s="92"/>
      <c r="C31" s="92"/>
      <c r="D31" s="92"/>
      <c r="E31" s="92"/>
      <c r="F31" s="15"/>
      <c r="G31" s="15"/>
      <c r="H31" s="15"/>
    </row>
    <row r="32" spans="1:8" x14ac:dyDescent="0.2">
      <c r="A32" s="33"/>
      <c r="B32" s="94"/>
      <c r="C32" s="94"/>
      <c r="D32" s="94"/>
      <c r="E32" s="94"/>
      <c r="F32" s="15"/>
      <c r="G32" s="15"/>
      <c r="H32" s="15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</sheetData>
  <mergeCells count="3">
    <mergeCell ref="A3:I3"/>
    <mergeCell ref="A8:A9"/>
    <mergeCell ref="A5:L6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>&amp;R15. sz. melléklet
......../2025.(II.13.) Egyek Önk.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33"/>
  <sheetViews>
    <sheetView zoomScaleNormal="100" workbookViewId="0">
      <selection activeCell="C18" sqref="C18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1" max="11" width="11.7109375" customWidth="1"/>
    <col min="12" max="12" width="16.5703125" customWidth="1"/>
  </cols>
  <sheetData>
    <row r="3" spans="1:12" ht="15.75" x14ac:dyDescent="0.25">
      <c r="A3" s="954"/>
      <c r="B3" s="955"/>
      <c r="C3" s="955"/>
      <c r="D3" s="955"/>
      <c r="E3" s="955"/>
      <c r="F3" s="955"/>
      <c r="G3" s="955"/>
      <c r="H3" s="955"/>
      <c r="I3" s="956"/>
    </row>
    <row r="5" spans="1:12" ht="12.75" customHeight="1" x14ac:dyDescent="0.2">
      <c r="A5" s="959" t="s">
        <v>524</v>
      </c>
      <c r="B5" s="959"/>
      <c r="C5" s="959"/>
      <c r="D5" s="959"/>
      <c r="E5" s="959"/>
      <c r="F5" s="959"/>
      <c r="G5" s="959"/>
      <c r="H5" s="959"/>
      <c r="I5" s="959"/>
      <c r="J5" s="959"/>
      <c r="K5" s="959"/>
      <c r="L5" s="959"/>
    </row>
    <row r="6" spans="1:12" ht="12.75" customHeight="1" x14ac:dyDescent="0.2">
      <c r="A6" s="959"/>
      <c r="B6" s="959"/>
      <c r="C6" s="959"/>
      <c r="D6" s="959"/>
      <c r="E6" s="959"/>
      <c r="F6" s="959"/>
      <c r="G6" s="959"/>
      <c r="H6" s="959"/>
      <c r="I6" s="959"/>
      <c r="J6" s="959"/>
      <c r="K6" s="959"/>
      <c r="L6" s="959"/>
    </row>
    <row r="7" spans="1:12" ht="13.5" thickBot="1" x14ac:dyDescent="0.25">
      <c r="I7" s="208"/>
    </row>
    <row r="8" spans="1:12" ht="102" customHeight="1" thickBot="1" x14ac:dyDescent="0.25">
      <c r="A8" s="957" t="s">
        <v>139</v>
      </c>
      <c r="B8" s="445" t="s">
        <v>155</v>
      </c>
      <c r="C8" s="206" t="s">
        <v>166</v>
      </c>
      <c r="D8" s="206" t="s">
        <v>157</v>
      </c>
      <c r="E8" s="206" t="s">
        <v>167</v>
      </c>
      <c r="F8" s="206" t="s">
        <v>163</v>
      </c>
      <c r="G8" s="206" t="s">
        <v>168</v>
      </c>
      <c r="H8" s="206" t="s">
        <v>159</v>
      </c>
      <c r="I8" s="206" t="s">
        <v>160</v>
      </c>
      <c r="J8" s="206" t="s">
        <v>161</v>
      </c>
      <c r="K8" s="206" t="s">
        <v>169</v>
      </c>
      <c r="L8" s="207" t="s">
        <v>24</v>
      </c>
    </row>
    <row r="9" spans="1:12" ht="21" customHeight="1" thickBot="1" x14ac:dyDescent="0.25">
      <c r="A9" s="958"/>
      <c r="B9" s="160" t="s">
        <v>502</v>
      </c>
      <c r="C9" s="160" t="s">
        <v>502</v>
      </c>
      <c r="D9" s="160" t="s">
        <v>502</v>
      </c>
      <c r="E9" s="160" t="s">
        <v>502</v>
      </c>
      <c r="F9" s="160" t="s">
        <v>502</v>
      </c>
      <c r="G9" s="160" t="s">
        <v>502</v>
      </c>
      <c r="H9" s="160" t="s">
        <v>502</v>
      </c>
      <c r="I9" s="160" t="s">
        <v>502</v>
      </c>
      <c r="J9" s="160" t="s">
        <v>502</v>
      </c>
      <c r="K9" s="160" t="s">
        <v>502</v>
      </c>
      <c r="L9" s="160" t="s">
        <v>502</v>
      </c>
    </row>
    <row r="10" spans="1:12" ht="40.5" customHeight="1" x14ac:dyDescent="0.2">
      <c r="A10" s="446" t="s">
        <v>147</v>
      </c>
      <c r="B10" s="424">
        <v>161849210</v>
      </c>
      <c r="C10" s="424">
        <v>20446000</v>
      </c>
      <c r="D10" s="439">
        <v>21810000</v>
      </c>
      <c r="E10" s="424"/>
      <c r="F10" s="440"/>
      <c r="G10" s="440"/>
      <c r="H10" s="440">
        <v>3761000</v>
      </c>
      <c r="I10" s="441"/>
      <c r="J10" s="442"/>
      <c r="K10" s="443"/>
      <c r="L10" s="444">
        <f>SUM(B10:K10)</f>
        <v>207866210</v>
      </c>
    </row>
    <row r="11" spans="1:12" ht="40.5" customHeight="1" thickBot="1" x14ac:dyDescent="0.25">
      <c r="A11" s="645" t="s">
        <v>148</v>
      </c>
      <c r="B11" s="201">
        <v>15268880</v>
      </c>
      <c r="C11" s="639">
        <v>2162800</v>
      </c>
      <c r="D11" s="640"/>
      <c r="E11" s="639"/>
      <c r="F11" s="641"/>
      <c r="G11" s="641"/>
      <c r="H11" s="641">
        <v>0</v>
      </c>
      <c r="I11" s="642"/>
      <c r="J11" s="643"/>
      <c r="K11" s="644"/>
      <c r="L11" s="444">
        <f>SUM(B11:K11)</f>
        <v>17431680</v>
      </c>
    </row>
    <row r="12" spans="1:12" s="69" customFormat="1" ht="21" customHeight="1" thickBot="1" x14ac:dyDescent="0.25">
      <c r="A12" s="102" t="s">
        <v>13</v>
      </c>
      <c r="B12" s="646">
        <f t="shared" ref="B12:L12" si="0">SUM(B10:B11)</f>
        <v>177118090</v>
      </c>
      <c r="C12" s="646">
        <f t="shared" si="0"/>
        <v>22608800</v>
      </c>
      <c r="D12" s="646">
        <f t="shared" si="0"/>
        <v>21810000</v>
      </c>
      <c r="E12" s="646">
        <f t="shared" si="0"/>
        <v>0</v>
      </c>
      <c r="F12" s="646">
        <f t="shared" si="0"/>
        <v>0</v>
      </c>
      <c r="G12" s="646">
        <f t="shared" si="0"/>
        <v>0</v>
      </c>
      <c r="H12" s="646">
        <f t="shared" si="0"/>
        <v>3761000</v>
      </c>
      <c r="I12" s="646">
        <f t="shared" si="0"/>
        <v>0</v>
      </c>
      <c r="J12" s="646">
        <f t="shared" si="0"/>
        <v>0</v>
      </c>
      <c r="K12" s="646">
        <f t="shared" si="0"/>
        <v>0</v>
      </c>
      <c r="L12" s="646">
        <f t="shared" si="0"/>
        <v>225297890</v>
      </c>
    </row>
    <row r="13" spans="1:12" x14ac:dyDescent="0.2">
      <c r="I13" s="2"/>
    </row>
    <row r="14" spans="1:12" x14ac:dyDescent="0.2">
      <c r="B14" s="98"/>
    </row>
    <row r="15" spans="1:12" x14ac:dyDescent="0.2">
      <c r="A15" s="30"/>
      <c r="B15" s="31"/>
      <c r="C15" s="31"/>
      <c r="D15" s="31" t="s">
        <v>109</v>
      </c>
      <c r="E15" s="31"/>
      <c r="F15" s="32"/>
      <c r="G15" s="32"/>
      <c r="H15" s="32"/>
    </row>
    <row r="16" spans="1:12" x14ac:dyDescent="0.2">
      <c r="A16" s="33"/>
      <c r="B16" s="34"/>
      <c r="C16" s="34"/>
      <c r="D16" s="34"/>
      <c r="E16" s="34"/>
      <c r="F16" s="34"/>
      <c r="G16" s="34"/>
      <c r="H16" s="34"/>
    </row>
    <row r="17" spans="1:8" x14ac:dyDescent="0.2">
      <c r="A17" s="35"/>
      <c r="B17" s="92"/>
      <c r="C17" s="92"/>
      <c r="D17" s="92"/>
      <c r="E17" s="92"/>
      <c r="F17" s="15"/>
      <c r="G17" s="15"/>
      <c r="H17" s="15"/>
    </row>
    <row r="18" spans="1:8" x14ac:dyDescent="0.2">
      <c r="A18" s="35"/>
      <c r="B18" s="92"/>
      <c r="C18" s="92"/>
      <c r="D18" s="93"/>
      <c r="E18" s="92"/>
      <c r="F18" s="15"/>
      <c r="G18" s="15"/>
      <c r="H18" s="15"/>
    </row>
    <row r="19" spans="1:8" x14ac:dyDescent="0.2">
      <c r="A19" s="35"/>
      <c r="B19" s="92"/>
      <c r="C19" s="92"/>
      <c r="D19" s="92"/>
      <c r="E19" s="92"/>
      <c r="F19" s="15"/>
      <c r="G19" s="15"/>
      <c r="H19" s="15"/>
    </row>
    <row r="20" spans="1:8" x14ac:dyDescent="0.2">
      <c r="A20" s="35"/>
      <c r="B20" s="92"/>
      <c r="C20" s="92"/>
      <c r="D20" s="92"/>
      <c r="E20" s="92"/>
      <c r="F20" s="15"/>
      <c r="G20" s="15"/>
      <c r="H20" s="15"/>
    </row>
    <row r="21" spans="1:8" x14ac:dyDescent="0.2">
      <c r="A21" s="35"/>
      <c r="B21" s="92"/>
      <c r="C21" s="92"/>
      <c r="D21" s="92"/>
      <c r="E21" s="92"/>
      <c r="F21" s="15"/>
      <c r="G21" s="15"/>
      <c r="H21" s="15"/>
    </row>
    <row r="22" spans="1:8" x14ac:dyDescent="0.2">
      <c r="A22" s="35"/>
      <c r="B22" s="92"/>
      <c r="C22" s="92"/>
      <c r="D22" s="92"/>
      <c r="E22" s="92"/>
      <c r="F22" s="15"/>
      <c r="G22" s="15"/>
      <c r="H22" s="15"/>
    </row>
    <row r="23" spans="1:8" x14ac:dyDescent="0.2">
      <c r="A23" s="35"/>
      <c r="B23" s="92"/>
      <c r="C23" s="92"/>
      <c r="D23" s="92"/>
      <c r="E23" s="92"/>
      <c r="F23" s="15"/>
      <c r="G23" s="15"/>
      <c r="H23" s="15"/>
    </row>
    <row r="24" spans="1:8" x14ac:dyDescent="0.2">
      <c r="A24" s="35"/>
      <c r="B24" s="92"/>
      <c r="C24" s="92"/>
      <c r="D24" s="92"/>
      <c r="E24" s="92"/>
      <c r="F24" s="15"/>
      <c r="G24" s="15"/>
      <c r="H24" s="15"/>
    </row>
    <row r="25" spans="1:8" x14ac:dyDescent="0.2">
      <c r="A25" s="35"/>
      <c r="B25" s="92"/>
      <c r="C25" s="92"/>
      <c r="D25" s="92"/>
      <c r="E25" s="92"/>
      <c r="F25" s="15"/>
      <c r="G25" s="15"/>
      <c r="H25" s="15"/>
    </row>
    <row r="26" spans="1:8" x14ac:dyDescent="0.2">
      <c r="A26" s="35"/>
      <c r="B26" s="92"/>
      <c r="C26" s="92"/>
      <c r="D26" s="92"/>
      <c r="E26" s="92"/>
      <c r="F26" s="15"/>
      <c r="G26" s="15"/>
      <c r="H26" s="15"/>
    </row>
    <row r="27" spans="1:8" x14ac:dyDescent="0.2">
      <c r="A27" s="35"/>
      <c r="B27" s="92"/>
      <c r="C27" s="92"/>
      <c r="D27" s="92"/>
      <c r="E27" s="92"/>
      <c r="F27" s="15"/>
      <c r="G27" s="15"/>
      <c r="H27" s="15"/>
    </row>
    <row r="28" spans="1:8" x14ac:dyDescent="0.2">
      <c r="A28" s="35"/>
      <c r="B28" s="92"/>
      <c r="C28" s="92"/>
      <c r="D28" s="92"/>
      <c r="E28" s="92"/>
      <c r="F28" s="15"/>
      <c r="G28" s="15"/>
      <c r="H28" s="15"/>
    </row>
    <row r="29" spans="1:8" x14ac:dyDescent="0.2">
      <c r="A29" s="35"/>
      <c r="B29" s="92"/>
      <c r="C29" s="92"/>
      <c r="D29" s="92"/>
      <c r="E29" s="92"/>
      <c r="F29" s="15"/>
      <c r="G29" s="15"/>
      <c r="H29" s="15"/>
    </row>
    <row r="30" spans="1:8" x14ac:dyDescent="0.2">
      <c r="A30" s="35"/>
      <c r="B30" s="92"/>
      <c r="C30" s="92"/>
      <c r="D30" s="92"/>
      <c r="E30" s="92"/>
      <c r="F30" s="15"/>
      <c r="G30" s="15"/>
      <c r="H30" s="15"/>
    </row>
    <row r="31" spans="1:8" x14ac:dyDescent="0.2">
      <c r="A31" s="33"/>
      <c r="B31" s="94"/>
      <c r="C31" s="94"/>
      <c r="D31" s="94"/>
      <c r="E31" s="94"/>
      <c r="F31" s="15"/>
      <c r="G31" s="15"/>
      <c r="H31" s="15"/>
    </row>
    <row r="32" spans="1:8" x14ac:dyDescent="0.2">
      <c r="B32" s="1"/>
      <c r="C32" s="1"/>
      <c r="D32" s="1"/>
      <c r="E32" s="1"/>
      <c r="F32" s="1"/>
      <c r="G32" s="1"/>
      <c r="H32" s="1"/>
    </row>
    <row r="33" spans="2:8" x14ac:dyDescent="0.2">
      <c r="B33" s="1"/>
      <c r="C33" s="1"/>
      <c r="D33" s="1"/>
      <c r="E33" s="1"/>
      <c r="F33" s="1"/>
      <c r="G33" s="1"/>
      <c r="H33" s="1"/>
    </row>
  </sheetData>
  <mergeCells count="3">
    <mergeCell ref="A3:I3"/>
    <mergeCell ref="A5:L6"/>
    <mergeCell ref="A8:A9"/>
  </mergeCells>
  <pageMargins left="0.74803149606299213" right="0.74803149606299213" top="0.98425196850393704" bottom="0.98425196850393704" header="0.51181102362204722" footer="0.51181102362204722"/>
  <pageSetup paperSize="9" scale="59" orientation="landscape" r:id="rId1"/>
  <headerFooter alignWithMargins="0">
    <oddHeader>&amp;R16. sz. melléklet
......../2025.(II.13.) Egyek Önk.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>
    <pageSetUpPr fitToPage="1"/>
  </sheetPr>
  <dimension ref="A1:L10"/>
  <sheetViews>
    <sheetView zoomScaleNormal="100" workbookViewId="0">
      <selection activeCell="C19" sqref="C19"/>
    </sheetView>
  </sheetViews>
  <sheetFormatPr defaultRowHeight="12.75" x14ac:dyDescent="0.2"/>
  <cols>
    <col min="1" max="1" width="56.7109375" customWidth="1"/>
    <col min="2" max="2" width="15.28515625" customWidth="1"/>
    <col min="3" max="4" width="15.140625" customWidth="1"/>
    <col min="5" max="5" width="19.7109375" customWidth="1"/>
    <col min="6" max="6" width="14.42578125" customWidth="1"/>
    <col min="7" max="7" width="14.5703125" customWidth="1"/>
    <col min="8" max="8" width="14.28515625" customWidth="1"/>
    <col min="9" max="9" width="15.140625" customWidth="1"/>
    <col min="10" max="10" width="12.5703125" customWidth="1"/>
    <col min="11" max="11" width="14.85546875" customWidth="1"/>
    <col min="12" max="12" width="14.140625" customWidth="1"/>
  </cols>
  <sheetData>
    <row r="1" spans="1:12" ht="15.75" customHeight="1" x14ac:dyDescent="0.2">
      <c r="A1" s="962" t="s">
        <v>525</v>
      </c>
      <c r="B1" s="962"/>
      <c r="C1" s="962"/>
      <c r="D1" s="962"/>
      <c r="E1" s="962"/>
      <c r="F1" s="962"/>
    </row>
    <row r="2" spans="1:12" x14ac:dyDescent="0.2">
      <c r="A2" s="962"/>
      <c r="B2" s="962"/>
      <c r="C2" s="962"/>
      <c r="D2" s="962"/>
      <c r="E2" s="962"/>
      <c r="F2" s="962"/>
    </row>
    <row r="3" spans="1:12" x14ac:dyDescent="0.2">
      <c r="A3" s="4"/>
      <c r="B3" s="4"/>
      <c r="C3" s="4"/>
      <c r="D3" s="4"/>
      <c r="E3" s="4"/>
      <c r="F3" s="4"/>
    </row>
    <row r="4" spans="1:12" x14ac:dyDescent="0.2">
      <c r="A4" s="4"/>
      <c r="B4" s="4"/>
      <c r="C4" s="4"/>
      <c r="D4" s="4"/>
      <c r="E4" s="4"/>
      <c r="F4" s="4"/>
    </row>
    <row r="5" spans="1:12" ht="13.5" thickBot="1" x14ac:dyDescent="0.25">
      <c r="A5" s="4"/>
      <c r="B5" s="4"/>
      <c r="C5" s="4"/>
      <c r="D5" s="4"/>
      <c r="E5" s="4"/>
      <c r="F5" s="4"/>
    </row>
    <row r="6" spans="1:12" s="346" customFormat="1" ht="102" customHeight="1" thickBot="1" x14ac:dyDescent="0.25">
      <c r="A6" s="960" t="s">
        <v>139</v>
      </c>
      <c r="B6" s="363" t="s">
        <v>155</v>
      </c>
      <c r="C6" s="363" t="s">
        <v>166</v>
      </c>
      <c r="D6" s="363" t="s">
        <v>157</v>
      </c>
      <c r="E6" s="363" t="s">
        <v>167</v>
      </c>
      <c r="F6" s="363" t="s">
        <v>163</v>
      </c>
      <c r="G6" s="363" t="s">
        <v>168</v>
      </c>
      <c r="H6" s="363" t="s">
        <v>159</v>
      </c>
      <c r="I6" s="363" t="s">
        <v>160</v>
      </c>
      <c r="J6" s="363" t="s">
        <v>161</v>
      </c>
      <c r="K6" s="363" t="s">
        <v>169</v>
      </c>
      <c r="L6" s="364" t="s">
        <v>24</v>
      </c>
    </row>
    <row r="7" spans="1:12" s="346" customFormat="1" ht="21" customHeight="1" thickBot="1" x14ac:dyDescent="0.25">
      <c r="A7" s="961"/>
      <c r="B7" s="160" t="s">
        <v>502</v>
      </c>
      <c r="C7" s="160" t="s">
        <v>502</v>
      </c>
      <c r="D7" s="160" t="s">
        <v>502</v>
      </c>
      <c r="E7" s="160" t="s">
        <v>502</v>
      </c>
      <c r="F7" s="160" t="s">
        <v>502</v>
      </c>
      <c r="G7" s="160" t="s">
        <v>502</v>
      </c>
      <c r="H7" s="160" t="s">
        <v>502</v>
      </c>
      <c r="I7" s="160" t="s">
        <v>502</v>
      </c>
      <c r="J7" s="160" t="s">
        <v>502</v>
      </c>
      <c r="K7" s="160" t="s">
        <v>502</v>
      </c>
      <c r="L7" s="160" t="s">
        <v>502</v>
      </c>
    </row>
    <row r="8" spans="1:12" s="346" customFormat="1" x14ac:dyDescent="0.2">
      <c r="A8" s="365" t="s">
        <v>149</v>
      </c>
      <c r="B8" s="201">
        <v>4759100</v>
      </c>
      <c r="C8" s="201">
        <v>673000</v>
      </c>
      <c r="D8" s="201">
        <v>5396000</v>
      </c>
      <c r="E8" s="371"/>
      <c r="F8" s="372"/>
      <c r="G8" s="372"/>
      <c r="H8" s="259"/>
      <c r="I8" s="316"/>
      <c r="J8" s="316"/>
      <c r="K8" s="316"/>
      <c r="L8" s="366">
        <f>SUM(B8:K8)</f>
        <v>10828100</v>
      </c>
    </row>
    <row r="9" spans="1:12" s="346" customFormat="1" ht="25.5" x14ac:dyDescent="0.2">
      <c r="A9" s="367" t="s">
        <v>151</v>
      </c>
      <c r="B9" s="201">
        <v>6813100</v>
      </c>
      <c r="C9" s="201">
        <v>830000</v>
      </c>
      <c r="D9" s="201">
        <v>3240000</v>
      </c>
      <c r="E9" s="201"/>
      <c r="F9" s="201"/>
      <c r="G9" s="201"/>
      <c r="H9" s="259"/>
      <c r="I9" s="316"/>
      <c r="J9" s="316"/>
      <c r="K9" s="316"/>
      <c r="L9" s="366">
        <f>SUM(B9:K9)</f>
        <v>10883100</v>
      </c>
    </row>
    <row r="10" spans="1:12" s="370" customFormat="1" ht="24" customHeight="1" thickBot="1" x14ac:dyDescent="0.25">
      <c r="A10" s="368" t="s">
        <v>81</v>
      </c>
      <c r="B10" s="369">
        <f t="shared" ref="B10:L10" si="0">SUM(B8:B9)</f>
        <v>11572200</v>
      </c>
      <c r="C10" s="369">
        <f t="shared" si="0"/>
        <v>1503000</v>
      </c>
      <c r="D10" s="369">
        <f t="shared" si="0"/>
        <v>8636000</v>
      </c>
      <c r="E10" s="369">
        <f t="shared" si="0"/>
        <v>0</v>
      </c>
      <c r="F10" s="369">
        <f t="shared" si="0"/>
        <v>0</v>
      </c>
      <c r="G10" s="369">
        <f t="shared" si="0"/>
        <v>0</v>
      </c>
      <c r="H10" s="369">
        <f t="shared" si="0"/>
        <v>0</v>
      </c>
      <c r="I10" s="369">
        <f t="shared" si="0"/>
        <v>0</v>
      </c>
      <c r="J10" s="369">
        <f t="shared" si="0"/>
        <v>0</v>
      </c>
      <c r="K10" s="369">
        <f t="shared" si="0"/>
        <v>0</v>
      </c>
      <c r="L10" s="369">
        <f t="shared" si="0"/>
        <v>21711200</v>
      </c>
    </row>
  </sheetData>
  <mergeCells count="2">
    <mergeCell ref="A6:A7"/>
    <mergeCell ref="A1:F2"/>
  </mergeCells>
  <phoneticPr fontId="38" type="noConversion"/>
  <pageMargins left="0.75" right="0.75" top="1" bottom="1" header="0.5" footer="0.5"/>
  <pageSetup paperSize="9" scale="59" orientation="landscape" r:id="rId1"/>
  <headerFooter alignWithMargins="0">
    <oddHeader>&amp;R17. sz. melléklet
...../2025.(II.13.) Egyek Önk.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zoomScaleNormal="100" workbookViewId="0">
      <selection activeCell="C24" sqref="C24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4.7109375" customWidth="1"/>
    <col min="5" max="5" width="19.7109375" customWidth="1"/>
    <col min="6" max="6" width="14.42578125" customWidth="1"/>
    <col min="7" max="7" width="14.5703125" customWidth="1"/>
    <col min="8" max="8" width="13.42578125" customWidth="1"/>
    <col min="9" max="9" width="15" customWidth="1"/>
    <col min="10" max="10" width="10.28515625" customWidth="1"/>
    <col min="11" max="11" width="10.85546875" customWidth="1"/>
    <col min="12" max="12" width="14.140625" customWidth="1"/>
  </cols>
  <sheetData>
    <row r="1" spans="1:12" ht="15.75" customHeight="1" x14ac:dyDescent="0.2">
      <c r="A1" s="963" t="s">
        <v>526</v>
      </c>
      <c r="B1" s="963"/>
      <c r="C1" s="963"/>
      <c r="D1" s="963"/>
      <c r="E1" s="963"/>
      <c r="F1" s="963"/>
    </row>
    <row r="2" spans="1:12" x14ac:dyDescent="0.2">
      <c r="A2" s="963"/>
      <c r="B2" s="963"/>
      <c r="C2" s="963"/>
      <c r="D2" s="963"/>
      <c r="E2" s="963"/>
      <c r="F2" s="963"/>
    </row>
    <row r="3" spans="1:12" x14ac:dyDescent="0.2">
      <c r="A3" s="4"/>
      <c r="B3" s="4"/>
      <c r="C3" s="4"/>
      <c r="D3" s="4"/>
      <c r="E3" s="4"/>
      <c r="F3" s="4"/>
    </row>
    <row r="4" spans="1:12" x14ac:dyDescent="0.2">
      <c r="A4" s="4"/>
      <c r="B4" s="4"/>
      <c r="C4" s="4"/>
      <c r="D4" s="4"/>
      <c r="E4" s="4"/>
      <c r="F4" s="4"/>
    </row>
    <row r="5" spans="1:12" ht="13.5" thickBot="1" x14ac:dyDescent="0.25">
      <c r="A5" s="4"/>
      <c r="B5" s="4"/>
      <c r="C5" s="4"/>
      <c r="D5" s="4"/>
      <c r="E5" s="4"/>
      <c r="F5" s="4"/>
    </row>
    <row r="6" spans="1:12" s="346" customFormat="1" ht="102" customHeight="1" thickBot="1" x14ac:dyDescent="0.25">
      <c r="A6" s="960" t="s">
        <v>139</v>
      </c>
      <c r="B6" s="363" t="s">
        <v>155</v>
      </c>
      <c r="C6" s="363" t="s">
        <v>166</v>
      </c>
      <c r="D6" s="363" t="s">
        <v>157</v>
      </c>
      <c r="E6" s="363" t="s">
        <v>167</v>
      </c>
      <c r="F6" s="363" t="s">
        <v>163</v>
      </c>
      <c r="G6" s="363" t="s">
        <v>168</v>
      </c>
      <c r="H6" s="363" t="s">
        <v>159</v>
      </c>
      <c r="I6" s="363" t="s">
        <v>160</v>
      </c>
      <c r="J6" s="363" t="s">
        <v>161</v>
      </c>
      <c r="K6" s="363" t="s">
        <v>169</v>
      </c>
      <c r="L6" s="364" t="s">
        <v>24</v>
      </c>
    </row>
    <row r="7" spans="1:12" s="346" customFormat="1" ht="21" customHeight="1" thickBot="1" x14ac:dyDescent="0.25">
      <c r="A7" s="961"/>
      <c r="B7" s="160" t="s">
        <v>502</v>
      </c>
      <c r="C7" s="160" t="s">
        <v>502</v>
      </c>
      <c r="D7" s="160" t="s">
        <v>502</v>
      </c>
      <c r="E7" s="160" t="s">
        <v>502</v>
      </c>
      <c r="F7" s="160" t="s">
        <v>502</v>
      </c>
      <c r="G7" s="160" t="s">
        <v>502</v>
      </c>
      <c r="H7" s="160" t="s">
        <v>502</v>
      </c>
      <c r="I7" s="160" t="s">
        <v>502</v>
      </c>
      <c r="J7" s="160" t="s">
        <v>502</v>
      </c>
      <c r="K7" s="160" t="s">
        <v>502</v>
      </c>
      <c r="L7" s="160" t="s">
        <v>502</v>
      </c>
    </row>
    <row r="8" spans="1:12" s="346" customFormat="1" x14ac:dyDescent="0.2">
      <c r="A8" s="365" t="s">
        <v>149</v>
      </c>
      <c r="B8" s="201">
        <v>4759100</v>
      </c>
      <c r="C8" s="201">
        <v>673000</v>
      </c>
      <c r="D8" s="201">
        <v>5396000</v>
      </c>
      <c r="E8" s="371"/>
      <c r="F8" s="372"/>
      <c r="G8" s="372"/>
      <c r="H8" s="259"/>
      <c r="I8" s="316"/>
      <c r="J8" s="316"/>
      <c r="K8" s="316"/>
      <c r="L8" s="366">
        <f>SUM(B8:K8)</f>
        <v>10828100</v>
      </c>
    </row>
    <row r="9" spans="1:12" s="346" customFormat="1" ht="25.5" x14ac:dyDescent="0.2">
      <c r="A9" s="367" t="s">
        <v>151</v>
      </c>
      <c r="B9" s="201">
        <v>6813100</v>
      </c>
      <c r="C9" s="201">
        <v>830000</v>
      </c>
      <c r="D9" s="201">
        <v>3240000</v>
      </c>
      <c r="E9" s="201"/>
      <c r="F9" s="201"/>
      <c r="G9" s="201"/>
      <c r="H9" s="259"/>
      <c r="I9" s="316"/>
      <c r="J9" s="316"/>
      <c r="K9" s="316"/>
      <c r="L9" s="366">
        <f>SUM(B9:K9)</f>
        <v>10883100</v>
      </c>
    </row>
    <row r="10" spans="1:12" s="370" customFormat="1" ht="24" customHeight="1" thickBot="1" x14ac:dyDescent="0.25">
      <c r="A10" s="368" t="s">
        <v>81</v>
      </c>
      <c r="B10" s="369">
        <f t="shared" ref="B10:L10" si="0">SUM(B8:B9)</f>
        <v>11572200</v>
      </c>
      <c r="C10" s="369">
        <f t="shared" si="0"/>
        <v>1503000</v>
      </c>
      <c r="D10" s="369">
        <f t="shared" si="0"/>
        <v>8636000</v>
      </c>
      <c r="E10" s="369">
        <f t="shared" si="0"/>
        <v>0</v>
      </c>
      <c r="F10" s="369">
        <f t="shared" si="0"/>
        <v>0</v>
      </c>
      <c r="G10" s="369">
        <f t="shared" si="0"/>
        <v>0</v>
      </c>
      <c r="H10" s="369">
        <f t="shared" si="0"/>
        <v>0</v>
      </c>
      <c r="I10" s="369">
        <f t="shared" si="0"/>
        <v>0</v>
      </c>
      <c r="J10" s="369">
        <f t="shared" si="0"/>
        <v>0</v>
      </c>
      <c r="K10" s="369">
        <f t="shared" si="0"/>
        <v>0</v>
      </c>
      <c r="L10" s="369">
        <f t="shared" si="0"/>
        <v>21711200</v>
      </c>
    </row>
  </sheetData>
  <mergeCells count="2">
    <mergeCell ref="A1:F2"/>
    <mergeCell ref="A6:A7"/>
  </mergeCells>
  <pageMargins left="0.75" right="0.75" top="1" bottom="1" header="0.5" footer="0.5"/>
  <pageSetup paperSize="9" scale="61" orientation="landscape" r:id="rId1"/>
  <headerFooter alignWithMargins="0">
    <oddHeader>&amp;R18. sz. melléklet
...../2025.(II.13.) Egyek Önk.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pageSetUpPr fitToPage="1"/>
  </sheetPr>
  <dimension ref="A1:K37"/>
  <sheetViews>
    <sheetView topLeftCell="A12" zoomScale="120" zoomScaleNormal="120" workbookViewId="0">
      <selection activeCell="C32" sqref="C32"/>
    </sheetView>
  </sheetViews>
  <sheetFormatPr defaultRowHeight="12.75" x14ac:dyDescent="0.2"/>
  <cols>
    <col min="1" max="1" width="5.28515625" customWidth="1"/>
    <col min="2" max="2" width="52" customWidth="1"/>
    <col min="3" max="3" width="22.5703125" customWidth="1"/>
    <col min="4" max="6" width="17.7109375" customWidth="1"/>
    <col min="8" max="8" width="19.140625" style="452" bestFit="1" customWidth="1"/>
    <col min="10" max="10" width="19" style="452" bestFit="1" customWidth="1"/>
    <col min="11" max="11" width="10" bestFit="1" customWidth="1"/>
  </cols>
  <sheetData>
    <row r="1" spans="2:10" ht="7.5" customHeight="1" x14ac:dyDescent="0.2"/>
    <row r="2" spans="2:10" ht="30" customHeight="1" x14ac:dyDescent="0.2">
      <c r="B2" s="948" t="s">
        <v>527</v>
      </c>
      <c r="C2" s="948"/>
      <c r="D2" s="948"/>
      <c r="E2" s="948"/>
      <c r="F2" s="948"/>
    </row>
    <row r="3" spans="2:10" ht="4.5" customHeight="1" thickBot="1" x14ac:dyDescent="0.25">
      <c r="B3" s="948"/>
      <c r="C3" s="948"/>
      <c r="D3" s="948"/>
      <c r="E3" s="948"/>
      <c r="F3" s="948"/>
    </row>
    <row r="4" spans="2:10" ht="3.75" hidden="1" customHeight="1" thickBot="1" x14ac:dyDescent="0.3">
      <c r="B4" s="21"/>
      <c r="C4" s="21"/>
      <c r="D4" s="21"/>
      <c r="E4" s="21"/>
      <c r="F4" s="25" t="s">
        <v>29</v>
      </c>
    </row>
    <row r="5" spans="2:10" ht="15.75" customHeight="1" x14ac:dyDescent="0.2">
      <c r="B5" s="964" t="s">
        <v>30</v>
      </c>
      <c r="C5" s="964" t="s">
        <v>322</v>
      </c>
      <c r="D5" s="966" t="s">
        <v>320</v>
      </c>
      <c r="E5" s="966" t="s">
        <v>321</v>
      </c>
      <c r="F5" s="969" t="s">
        <v>31</v>
      </c>
    </row>
    <row r="6" spans="2:10" ht="35.25" customHeight="1" thickBot="1" x14ac:dyDescent="0.25">
      <c r="B6" s="965"/>
      <c r="C6" s="965"/>
      <c r="D6" s="967"/>
      <c r="E6" s="968"/>
      <c r="F6" s="970"/>
    </row>
    <row r="7" spans="2:10" ht="15" customHeight="1" thickBot="1" x14ac:dyDescent="0.25">
      <c r="B7" s="26" t="s">
        <v>194</v>
      </c>
      <c r="C7" s="176">
        <f>C8+C10</f>
        <v>461706101</v>
      </c>
      <c r="D7" s="176">
        <f t="shared" ref="D7:E7" si="0">D8+D10</f>
        <v>177118090</v>
      </c>
      <c r="E7" s="176">
        <f t="shared" si="0"/>
        <v>11572200</v>
      </c>
      <c r="F7" s="178">
        <f t="shared" ref="F7:F32" si="1">SUM(C7:E7)</f>
        <v>650396391</v>
      </c>
    </row>
    <row r="8" spans="2:10" ht="15" customHeight="1" thickBot="1" x14ac:dyDescent="0.25">
      <c r="B8" s="27" t="s">
        <v>195</v>
      </c>
      <c r="C8" s="141">
        <v>397594964</v>
      </c>
      <c r="D8" s="154">
        <v>160498090</v>
      </c>
      <c r="E8" s="154">
        <v>10558200</v>
      </c>
      <c r="F8" s="178">
        <f t="shared" si="1"/>
        <v>568651254</v>
      </c>
    </row>
    <row r="9" spans="2:10" ht="15" customHeight="1" thickBot="1" x14ac:dyDescent="0.25">
      <c r="B9" s="27" t="s">
        <v>198</v>
      </c>
      <c r="C9" s="141">
        <v>309001864</v>
      </c>
      <c r="D9" s="154"/>
      <c r="E9" s="154"/>
      <c r="F9" s="178">
        <f t="shared" si="1"/>
        <v>309001864</v>
      </c>
    </row>
    <row r="10" spans="2:10" ht="15" customHeight="1" thickBot="1" x14ac:dyDescent="0.25">
      <c r="B10" s="28" t="s">
        <v>196</v>
      </c>
      <c r="C10" s="142">
        <v>64111137</v>
      </c>
      <c r="D10" s="91">
        <v>16620000</v>
      </c>
      <c r="E10" s="91">
        <v>1014000</v>
      </c>
      <c r="F10" s="178">
        <f t="shared" si="1"/>
        <v>81745137</v>
      </c>
    </row>
    <row r="11" spans="2:10" ht="15" customHeight="1" thickBot="1" x14ac:dyDescent="0.25">
      <c r="B11" s="29" t="s">
        <v>240</v>
      </c>
      <c r="C11" s="143">
        <v>39937557</v>
      </c>
      <c r="D11" s="177"/>
      <c r="E11" s="177"/>
      <c r="F11" s="178">
        <f>SUM(C11:E11)</f>
        <v>39937557</v>
      </c>
    </row>
    <row r="12" spans="2:10" ht="29.25" customHeight="1" thickBot="1" x14ac:dyDescent="0.25">
      <c r="B12" s="139" t="s">
        <v>173</v>
      </c>
      <c r="C12" s="178">
        <f>'önkormányzat kiadásai 12. '!C34</f>
        <v>40116708</v>
      </c>
      <c r="D12" s="178">
        <f>'Polg.Hivatal kiadásai 15.'!C12</f>
        <v>22608800</v>
      </c>
      <c r="E12" s="176">
        <f>'Könyvtár és Műv.H. kiadásai 17.'!C10</f>
        <v>1503000</v>
      </c>
      <c r="F12" s="178">
        <f t="shared" si="1"/>
        <v>64228508</v>
      </c>
      <c r="H12" s="625"/>
    </row>
    <row r="13" spans="2:10" ht="15" customHeight="1" thickBot="1" x14ac:dyDescent="0.25">
      <c r="B13" s="90" t="s">
        <v>157</v>
      </c>
      <c r="C13" s="176">
        <f>'önkormányzat kiadásai 12. '!D34</f>
        <v>270518113</v>
      </c>
      <c r="D13" s="178">
        <f>'Polg.Hivatal kiadásai 15.'!D12</f>
        <v>21810000</v>
      </c>
      <c r="E13" s="176">
        <f>'Könyvtár és Műv.H. kiadásai 17.'!D10</f>
        <v>8636000</v>
      </c>
      <c r="F13" s="178">
        <f t="shared" si="1"/>
        <v>300964113</v>
      </c>
    </row>
    <row r="14" spans="2:10" ht="15" customHeight="1" thickBot="1" x14ac:dyDescent="0.25">
      <c r="B14" s="64" t="s">
        <v>158</v>
      </c>
      <c r="C14" s="257">
        <f>'önkormányzat kiadásai 12. '!E34</f>
        <v>19763000</v>
      </c>
      <c r="D14" s="179"/>
      <c r="E14" s="179"/>
      <c r="F14" s="178">
        <f>SUM(C14:E14)</f>
        <v>19763000</v>
      </c>
    </row>
    <row r="15" spans="2:10" s="69" customFormat="1" ht="29.25" customHeight="1" thickBot="1" x14ac:dyDescent="0.25">
      <c r="B15" s="139" t="s">
        <v>175</v>
      </c>
      <c r="C15" s="477">
        <f>SUM(C16:C28)</f>
        <v>109181816</v>
      </c>
      <c r="D15" s="478">
        <f>SUM(D16:D28)</f>
        <v>0</v>
      </c>
      <c r="E15" s="477">
        <f>SUM(E16:E28)</f>
        <v>0</v>
      </c>
      <c r="F15" s="478">
        <f>SUM(F16:F28)</f>
        <v>109181816</v>
      </c>
      <c r="H15" s="531"/>
      <c r="J15" s="531"/>
    </row>
    <row r="16" spans="2:10" ht="15" customHeight="1" thickBot="1" x14ac:dyDescent="0.25">
      <c r="B16" s="59" t="s">
        <v>291</v>
      </c>
      <c r="C16" s="362"/>
      <c r="D16" s="261"/>
      <c r="E16" s="262"/>
      <c r="F16" s="178">
        <f>SUM(C16:E16)</f>
        <v>0</v>
      </c>
    </row>
    <row r="17" spans="1:11" ht="15" customHeight="1" thickBot="1" x14ac:dyDescent="0.25">
      <c r="B17" s="59" t="s">
        <v>290</v>
      </c>
      <c r="C17" s="532">
        <f>29100000+5419000</f>
        <v>34519000</v>
      </c>
      <c r="D17" s="259"/>
      <c r="E17" s="260"/>
      <c r="F17" s="178">
        <f t="shared" si="1"/>
        <v>34519000</v>
      </c>
    </row>
    <row r="18" spans="1:11" ht="15" customHeight="1" thickBot="1" x14ac:dyDescent="0.25">
      <c r="B18" s="59" t="s">
        <v>375</v>
      </c>
      <c r="C18" s="532">
        <v>1000000</v>
      </c>
      <c r="D18" s="259"/>
      <c r="E18" s="260"/>
      <c r="F18" s="178">
        <f t="shared" si="1"/>
        <v>1000000</v>
      </c>
    </row>
    <row r="19" spans="1:11" ht="21.75" customHeight="1" thickBot="1" x14ac:dyDescent="0.25">
      <c r="B19" s="138" t="s">
        <v>377</v>
      </c>
      <c r="C19" s="532">
        <v>3000000</v>
      </c>
      <c r="D19" s="259"/>
      <c r="E19" s="260"/>
      <c r="F19" s="178">
        <f t="shared" si="1"/>
        <v>3000000</v>
      </c>
    </row>
    <row r="20" spans="1:11" ht="17.25" customHeight="1" thickBot="1" x14ac:dyDescent="0.25">
      <c r="B20" s="59" t="s">
        <v>84</v>
      </c>
      <c r="C20" s="361">
        <f>'önkormányzat kiadásai 12. '!F13</f>
        <v>2339000</v>
      </c>
      <c r="D20" s="259"/>
      <c r="E20" s="260"/>
      <c r="F20" s="178">
        <f t="shared" si="1"/>
        <v>2339000</v>
      </c>
    </row>
    <row r="21" spans="1:11" ht="15" customHeight="1" thickBot="1" x14ac:dyDescent="0.25">
      <c r="B21" s="59" t="s">
        <v>101</v>
      </c>
      <c r="C21" s="361">
        <v>13000000</v>
      </c>
      <c r="D21" s="259"/>
      <c r="E21" s="260"/>
      <c r="F21" s="178">
        <f t="shared" si="1"/>
        <v>13000000</v>
      </c>
      <c r="K21" s="98"/>
    </row>
    <row r="22" spans="1:11" ht="15" customHeight="1" thickBot="1" x14ac:dyDescent="0.25">
      <c r="B22" s="59" t="s">
        <v>443</v>
      </c>
      <c r="C22" s="362">
        <v>50000</v>
      </c>
      <c r="D22" s="261"/>
      <c r="E22" s="262"/>
      <c r="F22" s="178">
        <f t="shared" si="1"/>
        <v>50000</v>
      </c>
    </row>
    <row r="23" spans="1:11" ht="17.25" customHeight="1" thickBot="1" x14ac:dyDescent="0.25">
      <c r="B23" s="138" t="s">
        <v>442</v>
      </c>
      <c r="C23" s="362">
        <v>50000</v>
      </c>
      <c r="D23" s="261"/>
      <c r="E23" s="262"/>
      <c r="F23" s="178">
        <f t="shared" si="1"/>
        <v>50000</v>
      </c>
      <c r="K23" s="98"/>
    </row>
    <row r="24" spans="1:11" ht="16.149999999999999" customHeight="1" thickBot="1" x14ac:dyDescent="0.25">
      <c r="B24" s="138" t="s">
        <v>331</v>
      </c>
      <c r="C24" s="362">
        <v>9268000</v>
      </c>
      <c r="D24" s="261"/>
      <c r="E24" s="262"/>
      <c r="F24" s="178">
        <f t="shared" si="1"/>
        <v>9268000</v>
      </c>
    </row>
    <row r="25" spans="1:11" ht="15" customHeight="1" thickBot="1" x14ac:dyDescent="0.25">
      <c r="B25" s="60" t="s">
        <v>376</v>
      </c>
      <c r="C25" s="362">
        <v>3000000</v>
      </c>
      <c r="D25" s="261"/>
      <c r="E25" s="262"/>
      <c r="F25" s="178">
        <f t="shared" si="1"/>
        <v>3000000</v>
      </c>
    </row>
    <row r="26" spans="1:11" ht="15" customHeight="1" thickBot="1" x14ac:dyDescent="0.25">
      <c r="B26" s="60" t="s">
        <v>560</v>
      </c>
      <c r="C26" s="362">
        <v>2000000</v>
      </c>
      <c r="D26" s="261"/>
      <c r="E26" s="262"/>
      <c r="F26" s="178">
        <f t="shared" si="1"/>
        <v>2000000</v>
      </c>
    </row>
    <row r="27" spans="1:11" s="69" customFormat="1" ht="15" customHeight="1" thickBot="1" x14ac:dyDescent="0.25">
      <c r="A27" s="209"/>
      <c r="B27" s="345" t="s">
        <v>199</v>
      </c>
      <c r="C27" s="634">
        <v>2200000</v>
      </c>
      <c r="D27" s="263"/>
      <c r="E27" s="264"/>
      <c r="F27" s="178">
        <f t="shared" si="1"/>
        <v>2200000</v>
      </c>
      <c r="H27" s="531"/>
      <c r="J27" s="531"/>
    </row>
    <row r="28" spans="1:11" s="69" customFormat="1" ht="28.9" customHeight="1" thickBot="1" x14ac:dyDescent="0.25">
      <c r="B28" s="374" t="s">
        <v>444</v>
      </c>
      <c r="C28" s="375">
        <f>'Kiadások 11. m.'!C14</f>
        <v>38755816</v>
      </c>
      <c r="D28" s="373"/>
      <c r="E28" s="375"/>
      <c r="F28" s="465">
        <f t="shared" si="1"/>
        <v>38755816</v>
      </c>
      <c r="H28" s="531"/>
      <c r="J28" s="531"/>
    </row>
    <row r="29" spans="1:11" ht="27.75" customHeight="1" thickBot="1" x14ac:dyDescent="0.25">
      <c r="B29" s="26" t="s">
        <v>197</v>
      </c>
      <c r="C29" s="258">
        <f>SUM(C30:C32)</f>
        <v>257490305</v>
      </c>
      <c r="D29" s="258">
        <f>SUM(D30:D30)</f>
        <v>0</v>
      </c>
      <c r="E29" s="176">
        <f>SUM(E30:E30)</f>
        <v>0</v>
      </c>
      <c r="F29" s="178">
        <f t="shared" si="1"/>
        <v>257490305</v>
      </c>
    </row>
    <row r="30" spans="1:11" ht="27.75" customHeight="1" thickBot="1" x14ac:dyDescent="0.25">
      <c r="B30" s="556" t="s">
        <v>374</v>
      </c>
      <c r="C30" s="557"/>
      <c r="D30" s="255"/>
      <c r="E30" s="256"/>
      <c r="F30" s="178">
        <f t="shared" si="1"/>
        <v>0</v>
      </c>
    </row>
    <row r="31" spans="1:11" ht="27.75" customHeight="1" thickBot="1" x14ac:dyDescent="0.25">
      <c r="B31" s="556" t="s">
        <v>353</v>
      </c>
      <c r="C31" s="618">
        <f>'önkormányzat kiadásai 12. '!K9</f>
        <v>12274215</v>
      </c>
      <c r="D31" s="619"/>
      <c r="E31" s="620"/>
      <c r="F31" s="178">
        <f t="shared" ref="F31" si="2">SUM(C31:E31)</f>
        <v>12274215</v>
      </c>
    </row>
    <row r="32" spans="1:11" ht="13.5" thickBot="1" x14ac:dyDescent="0.25">
      <c r="B32" s="556" t="s">
        <v>352</v>
      </c>
      <c r="C32" s="618">
        <f>'önkormányzat kiadásai 12. '!K10</f>
        <v>245216090</v>
      </c>
      <c r="D32" s="619"/>
      <c r="E32" s="620"/>
      <c r="F32" s="178">
        <f t="shared" si="1"/>
        <v>245216090</v>
      </c>
    </row>
    <row r="33" spans="2:6" ht="13.5" thickBot="1" x14ac:dyDescent="0.25">
      <c r="B33" s="26" t="s">
        <v>32</v>
      </c>
      <c r="C33" s="176">
        <f>C7+C12+C13+C14+C15+C29</f>
        <v>1158776043</v>
      </c>
      <c r="D33" s="176">
        <f>D7+D12+D13+D14+D15+D29</f>
        <v>221536890</v>
      </c>
      <c r="E33" s="176">
        <f>E7+E12+E13+E14+E15+E29</f>
        <v>21711200</v>
      </c>
      <c r="F33" s="176">
        <f>F7+F12+F13+F14+F15+F29</f>
        <v>1402024133</v>
      </c>
    </row>
    <row r="34" spans="2:6" x14ac:dyDescent="0.2">
      <c r="C34" s="189"/>
      <c r="D34" s="2"/>
    </row>
    <row r="35" spans="2:6" x14ac:dyDescent="0.2">
      <c r="C35" s="98"/>
      <c r="D35" s="98"/>
      <c r="E35" s="98"/>
      <c r="F35" s="2"/>
    </row>
    <row r="36" spans="2:6" x14ac:dyDescent="0.2">
      <c r="C36" s="98"/>
      <c r="F36" s="98"/>
    </row>
    <row r="37" spans="2:6" x14ac:dyDescent="0.2">
      <c r="F37" s="2"/>
    </row>
  </sheetData>
  <mergeCells count="6">
    <mergeCell ref="B2:F3"/>
    <mergeCell ref="B5:B6"/>
    <mergeCell ref="D5:D6"/>
    <mergeCell ref="E5:E6"/>
    <mergeCell ref="F5:F6"/>
    <mergeCell ref="C5:C6"/>
  </mergeCells>
  <phoneticPr fontId="5" type="noConversion"/>
  <pageMargins left="0.78740157480314965" right="0.78740157480314965" top="0.83229166666666665" bottom="0.78740157480314965" header="0.51181102362204722" footer="0.51181102362204722"/>
  <pageSetup paperSize="9" scale="83" orientation="landscape" r:id="rId1"/>
  <headerFooter alignWithMargins="0">
    <oddHeader>&amp;R19.sz melléklet
..../2025.(II.13.) Egyek Önk.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topLeftCell="A13" zoomScale="140" zoomScaleNormal="140" workbookViewId="0">
      <selection activeCell="D36" sqref="D36"/>
    </sheetView>
  </sheetViews>
  <sheetFormatPr defaultRowHeight="12.75" x14ac:dyDescent="0.2"/>
  <cols>
    <col min="1" max="1" width="9.140625" customWidth="1"/>
    <col min="2" max="2" width="19.28515625" customWidth="1"/>
    <col min="3" max="3" width="74.7109375" customWidth="1"/>
    <col min="4" max="4" width="20.85546875" customWidth="1"/>
    <col min="5" max="5" width="17.28515625" style="452" bestFit="1" customWidth="1"/>
    <col min="6" max="6" width="20.140625" style="452" bestFit="1" customWidth="1"/>
    <col min="8" max="8" width="12.5703125" bestFit="1" customWidth="1"/>
  </cols>
  <sheetData>
    <row r="1" spans="1:12" x14ac:dyDescent="0.2">
      <c r="D1" s="104"/>
    </row>
    <row r="2" spans="1:12" x14ac:dyDescent="0.2">
      <c r="D2" s="104"/>
    </row>
    <row r="3" spans="1:12" x14ac:dyDescent="0.2">
      <c r="A3" s="346"/>
      <c r="B3" s="346"/>
      <c r="C3" s="346"/>
      <c r="D3" s="347"/>
    </row>
    <row r="4" spans="1:12" ht="15.75" x14ac:dyDescent="0.25">
      <c r="A4" s="971" t="s">
        <v>324</v>
      </c>
      <c r="B4" s="971"/>
      <c r="C4" s="971"/>
      <c r="D4" s="971"/>
    </row>
    <row r="5" spans="1:12" ht="13.5" thickBot="1" x14ac:dyDescent="0.25">
      <c r="A5" s="346"/>
      <c r="B5" s="346"/>
      <c r="C5" s="346"/>
      <c r="D5" s="348" t="s">
        <v>393</v>
      </c>
    </row>
    <row r="6" spans="1:12" ht="26.25" thickBot="1" x14ac:dyDescent="0.3">
      <c r="A6" s="536" t="s">
        <v>335</v>
      </c>
      <c r="B6" s="537" t="s">
        <v>200</v>
      </c>
      <c r="C6" s="475" t="s">
        <v>34</v>
      </c>
      <c r="D6" s="538" t="s">
        <v>391</v>
      </c>
      <c r="F6" s="737"/>
      <c r="G6" s="737"/>
      <c r="H6" s="737"/>
      <c r="I6" s="737"/>
      <c r="J6" s="737"/>
      <c r="K6" s="738"/>
      <c r="L6" s="738"/>
    </row>
    <row r="7" spans="1:12" s="209" customFormat="1" ht="13.5" customHeight="1" thickBot="1" x14ac:dyDescent="0.3">
      <c r="A7" s="662" t="s">
        <v>2</v>
      </c>
      <c r="B7" s="533" t="s">
        <v>244</v>
      </c>
      <c r="C7" s="534" t="s">
        <v>448</v>
      </c>
      <c r="D7" s="663">
        <v>2000000</v>
      </c>
      <c r="E7" s="452"/>
      <c r="F7" s="737"/>
      <c r="G7" s="737"/>
      <c r="H7" s="737"/>
      <c r="I7" s="737"/>
      <c r="J7" s="737"/>
      <c r="K7" s="738"/>
      <c r="L7" s="738"/>
    </row>
    <row r="8" spans="1:12" ht="15.75" thickBot="1" x14ac:dyDescent="0.3">
      <c r="A8" s="972" t="s">
        <v>13</v>
      </c>
      <c r="B8" s="972"/>
      <c r="C8" s="972"/>
      <c r="D8" s="383">
        <f>SUM(D7:D7)</f>
        <v>2000000</v>
      </c>
      <c r="F8" s="737"/>
      <c r="G8" s="737"/>
      <c r="H8" s="737"/>
      <c r="I8" s="737"/>
      <c r="J8" s="737"/>
      <c r="K8" s="738"/>
      <c r="L8" s="738"/>
    </row>
    <row r="9" spans="1:12" ht="12.75" customHeight="1" x14ac:dyDescent="0.25">
      <c r="A9" s="346"/>
      <c r="B9" s="346"/>
      <c r="C9" s="346"/>
      <c r="D9" s="535"/>
      <c r="F9" s="737"/>
      <c r="G9" s="737"/>
      <c r="H9" s="737"/>
      <c r="I9" s="737"/>
      <c r="J9" s="737"/>
      <c r="K9" s="738"/>
      <c r="L9" s="738"/>
    </row>
    <row r="10" spans="1:12" ht="12.75" customHeight="1" x14ac:dyDescent="0.25">
      <c r="A10" s="346"/>
      <c r="B10" s="346"/>
      <c r="C10" s="346"/>
      <c r="D10" s="739"/>
      <c r="F10" s="737"/>
      <c r="G10" s="737"/>
      <c r="H10" s="737"/>
      <c r="I10" s="737"/>
      <c r="J10" s="737"/>
      <c r="K10" s="738"/>
      <c r="L10" s="738"/>
    </row>
    <row r="11" spans="1:12" ht="15.75" x14ac:dyDescent="0.25">
      <c r="A11" s="971" t="s">
        <v>73</v>
      </c>
      <c r="B11" s="973"/>
      <c r="C11" s="973"/>
      <c r="D11" s="973"/>
    </row>
    <row r="12" spans="1:12" ht="13.5" thickBot="1" x14ac:dyDescent="0.25">
      <c r="A12" s="350"/>
      <c r="B12" s="350"/>
      <c r="C12" s="350"/>
      <c r="D12" s="348" t="s">
        <v>35</v>
      </c>
    </row>
    <row r="13" spans="1:12" ht="26.25" thickBot="1" x14ac:dyDescent="0.25">
      <c r="A13" s="536" t="s">
        <v>335</v>
      </c>
      <c r="B13" s="627" t="s">
        <v>200</v>
      </c>
      <c r="C13" s="529" t="s">
        <v>36</v>
      </c>
      <c r="D13" s="538" t="s">
        <v>391</v>
      </c>
    </row>
    <row r="14" spans="1:12" ht="13.5" thickBot="1" x14ac:dyDescent="0.25">
      <c r="A14" s="624" t="s">
        <v>2</v>
      </c>
      <c r="B14" s="351" t="s">
        <v>201</v>
      </c>
      <c r="C14" s="628" t="s">
        <v>378</v>
      </c>
      <c r="D14" s="631">
        <v>1780000</v>
      </c>
    </row>
    <row r="15" spans="1:12" s="209" customFormat="1" ht="13.5" thickBot="1" x14ac:dyDescent="0.25">
      <c r="A15" s="624" t="s">
        <v>6</v>
      </c>
      <c r="B15" s="351" t="s">
        <v>201</v>
      </c>
      <c r="C15" s="629" t="s">
        <v>333</v>
      </c>
      <c r="D15" s="382">
        <v>1711000</v>
      </c>
      <c r="E15" s="452"/>
      <c r="F15" s="156"/>
    </row>
    <row r="16" spans="1:12" s="209" customFormat="1" ht="13.5" thickBot="1" x14ac:dyDescent="0.25">
      <c r="A16" s="624" t="s">
        <v>10</v>
      </c>
      <c r="B16" s="351" t="s">
        <v>201</v>
      </c>
      <c r="C16" s="629" t="s">
        <v>332</v>
      </c>
      <c r="D16" s="382">
        <v>270000</v>
      </c>
      <c r="E16" s="452"/>
      <c r="F16" s="156"/>
    </row>
    <row r="17" spans="1:5" ht="13.5" thickBot="1" x14ac:dyDescent="0.25">
      <c r="A17" s="624" t="s">
        <v>4</v>
      </c>
      <c r="B17" s="351" t="s">
        <v>201</v>
      </c>
      <c r="C17" s="629" t="s">
        <v>449</v>
      </c>
      <c r="D17" s="382">
        <v>3360000</v>
      </c>
    </row>
    <row r="18" spans="1:5" ht="13.5" thickBot="1" x14ac:dyDescent="0.25">
      <c r="A18" s="624" t="s">
        <v>7</v>
      </c>
      <c r="B18" s="351" t="s">
        <v>201</v>
      </c>
      <c r="C18" s="629" t="s">
        <v>450</v>
      </c>
      <c r="D18" s="385">
        <v>160000</v>
      </c>
    </row>
    <row r="19" spans="1:5" ht="13.5" thickBot="1" x14ac:dyDescent="0.25">
      <c r="A19" s="624" t="s">
        <v>11</v>
      </c>
      <c r="B19" s="351" t="s">
        <v>447</v>
      </c>
      <c r="C19" s="630" t="s">
        <v>545</v>
      </c>
      <c r="D19" s="385">
        <v>5000000</v>
      </c>
    </row>
    <row r="20" spans="1:5" ht="13.5" thickBot="1" x14ac:dyDescent="0.25">
      <c r="A20" s="624" t="s">
        <v>5</v>
      </c>
      <c r="B20" s="351" t="s">
        <v>244</v>
      </c>
      <c r="C20" s="630" t="s">
        <v>544</v>
      </c>
      <c r="D20" s="385">
        <v>1000000</v>
      </c>
    </row>
    <row r="21" spans="1:5" ht="13.5" thickBot="1" x14ac:dyDescent="0.25">
      <c r="A21" s="624" t="s">
        <v>12</v>
      </c>
      <c r="B21" s="349" t="s">
        <v>244</v>
      </c>
      <c r="C21" s="630" t="s">
        <v>381</v>
      </c>
      <c r="D21" s="385">
        <v>23694382</v>
      </c>
      <c r="E21" s="484"/>
    </row>
    <row r="22" spans="1:5" ht="13.5" thickBot="1" x14ac:dyDescent="0.25">
      <c r="A22" s="624" t="s">
        <v>8</v>
      </c>
      <c r="B22" s="349" t="s">
        <v>244</v>
      </c>
      <c r="C22" s="630" t="s">
        <v>380</v>
      </c>
      <c r="D22" s="385">
        <v>68917757</v>
      </c>
      <c r="E22" s="484"/>
    </row>
    <row r="23" spans="1:5" ht="13.5" thickBot="1" x14ac:dyDescent="0.25">
      <c r="A23" s="624" t="s">
        <v>3</v>
      </c>
      <c r="B23" s="349" t="s">
        <v>244</v>
      </c>
      <c r="C23" s="629" t="s">
        <v>446</v>
      </c>
      <c r="D23" s="385">
        <v>215000</v>
      </c>
      <c r="E23" s="484"/>
    </row>
    <row r="24" spans="1:5" ht="13.5" thickBot="1" x14ac:dyDescent="0.25">
      <c r="A24" s="624" t="s">
        <v>9</v>
      </c>
      <c r="B24" s="349" t="s">
        <v>243</v>
      </c>
      <c r="C24" s="629" t="s">
        <v>451</v>
      </c>
      <c r="D24" s="385">
        <v>1564463</v>
      </c>
      <c r="E24" s="484"/>
    </row>
    <row r="25" spans="1:5" ht="13.5" thickBot="1" x14ac:dyDescent="0.25">
      <c r="A25" s="624"/>
      <c r="B25" s="349" t="s">
        <v>561</v>
      </c>
      <c r="C25" s="629" t="s">
        <v>562</v>
      </c>
      <c r="D25" s="385">
        <v>2000000</v>
      </c>
      <c r="E25" s="484"/>
    </row>
    <row r="26" spans="1:5" ht="13.5" thickBot="1" x14ac:dyDescent="0.25">
      <c r="A26" s="624" t="s">
        <v>25</v>
      </c>
      <c r="B26" s="349" t="s">
        <v>452</v>
      </c>
      <c r="C26" s="629" t="s">
        <v>546</v>
      </c>
      <c r="D26" s="385">
        <v>1000000</v>
      </c>
      <c r="E26" s="484"/>
    </row>
    <row r="27" spans="1:5" ht="13.5" thickBot="1" x14ac:dyDescent="0.25">
      <c r="A27" s="624" t="s">
        <v>15</v>
      </c>
      <c r="B27" s="349" t="s">
        <v>392</v>
      </c>
      <c r="C27" s="629" t="s">
        <v>469</v>
      </c>
      <c r="D27" s="385">
        <v>200064917</v>
      </c>
      <c r="E27" s="484"/>
    </row>
    <row r="28" spans="1:5" ht="13.5" thickBot="1" x14ac:dyDescent="0.25">
      <c r="A28" s="624" t="s">
        <v>61</v>
      </c>
      <c r="B28" s="349" t="s">
        <v>392</v>
      </c>
      <c r="C28" s="629" t="s">
        <v>550</v>
      </c>
      <c r="D28" s="385">
        <v>14000000</v>
      </c>
      <c r="E28" s="484"/>
    </row>
    <row r="29" spans="1:5" ht="13.5" thickBot="1" x14ac:dyDescent="0.25">
      <c r="A29" s="624" t="s">
        <v>64</v>
      </c>
      <c r="B29" s="349" t="s">
        <v>400</v>
      </c>
      <c r="C29" s="629" t="s">
        <v>547</v>
      </c>
      <c r="D29" s="385">
        <v>6000000</v>
      </c>
      <c r="E29" s="484"/>
    </row>
    <row r="30" spans="1:5" ht="13.5" thickBot="1" x14ac:dyDescent="0.25">
      <c r="A30" s="624" t="s">
        <v>62</v>
      </c>
      <c r="B30" s="349" t="s">
        <v>548</v>
      </c>
      <c r="C30" s="629" t="s">
        <v>549</v>
      </c>
      <c r="D30" s="385">
        <v>5000000</v>
      </c>
    </row>
    <row r="31" spans="1:5" ht="13.5" thickBot="1" x14ac:dyDescent="0.25">
      <c r="A31" s="624" t="s">
        <v>63</v>
      </c>
      <c r="B31" s="349" t="s">
        <v>453</v>
      </c>
      <c r="C31" s="629" t="s">
        <v>455</v>
      </c>
      <c r="D31" s="385">
        <v>100000</v>
      </c>
    </row>
    <row r="32" spans="1:5" ht="13.5" thickBot="1" x14ac:dyDescent="0.25">
      <c r="A32" s="624" t="s">
        <v>66</v>
      </c>
      <c r="B32" s="349" t="s">
        <v>453</v>
      </c>
      <c r="C32" s="629" t="s">
        <v>551</v>
      </c>
      <c r="D32" s="385">
        <v>500000</v>
      </c>
    </row>
    <row r="33" spans="1:4" ht="13.5" thickBot="1" x14ac:dyDescent="0.25">
      <c r="A33" s="624" t="s">
        <v>67</v>
      </c>
      <c r="B33" s="349" t="s">
        <v>454</v>
      </c>
      <c r="C33" s="629" t="s">
        <v>456</v>
      </c>
      <c r="D33" s="385">
        <v>100000</v>
      </c>
    </row>
    <row r="34" spans="1:4" x14ac:dyDescent="0.2">
      <c r="A34" s="624" t="s">
        <v>68</v>
      </c>
      <c r="B34" s="349" t="s">
        <v>379</v>
      </c>
      <c r="C34" s="629" t="s">
        <v>552</v>
      </c>
      <c r="D34" s="385">
        <v>150000</v>
      </c>
    </row>
    <row r="35" spans="1:4" ht="13.5" thickBot="1" x14ac:dyDescent="0.25">
      <c r="A35" s="974" t="s">
        <v>13</v>
      </c>
      <c r="B35" s="975"/>
      <c r="C35" s="976"/>
      <c r="D35" s="384">
        <f>SUM(D14:D34)</f>
        <v>336587519</v>
      </c>
    </row>
  </sheetData>
  <mergeCells count="4">
    <mergeCell ref="A4:D4"/>
    <mergeCell ref="A8:C8"/>
    <mergeCell ref="A11:D11"/>
    <mergeCell ref="A35:C35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&amp;R20. sz. melléklet
.../2025.(II.13.) Egyek Önk.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zoomScale="110" zoomScaleNormal="110" workbookViewId="0">
      <selection activeCell="A12" sqref="A12"/>
    </sheetView>
  </sheetViews>
  <sheetFormatPr defaultRowHeight="12.75" x14ac:dyDescent="0.2"/>
  <cols>
    <col min="1" max="1" width="62.140625" customWidth="1"/>
    <col min="2" max="2" width="17" customWidth="1"/>
    <col min="3" max="3" width="18.5703125" style="452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904" t="s">
        <v>501</v>
      </c>
      <c r="B1" s="904"/>
      <c r="C1" s="904"/>
      <c r="D1" s="904"/>
      <c r="E1" s="904"/>
      <c r="F1" s="904"/>
      <c r="G1" s="904"/>
      <c r="H1" s="904"/>
      <c r="I1" s="904"/>
      <c r="J1" s="904"/>
    </row>
    <row r="2" spans="1:10" x14ac:dyDescent="0.2">
      <c r="A2" s="904"/>
      <c r="B2" s="904"/>
      <c r="C2" s="904"/>
      <c r="D2" s="904"/>
      <c r="E2" s="904"/>
      <c r="F2" s="904"/>
      <c r="G2" s="904"/>
      <c r="H2" s="904"/>
      <c r="I2" s="904"/>
      <c r="J2" s="904"/>
    </row>
    <row r="5" spans="1:10" ht="13.5" thickBot="1" x14ac:dyDescent="0.25"/>
    <row r="6" spans="1:10" ht="86.25" customHeight="1" thickBot="1" x14ac:dyDescent="0.25">
      <c r="A6" s="905" t="s">
        <v>139</v>
      </c>
      <c r="B6" s="474" t="s">
        <v>118</v>
      </c>
      <c r="C6" s="528" t="s">
        <v>124</v>
      </c>
      <c r="D6" s="474" t="s">
        <v>137</v>
      </c>
      <c r="E6" s="474" t="s">
        <v>116</v>
      </c>
      <c r="F6" s="474" t="s">
        <v>138</v>
      </c>
      <c r="G6" s="474" t="s">
        <v>135</v>
      </c>
      <c r="H6" s="474" t="s">
        <v>126</v>
      </c>
      <c r="I6" s="474" t="s">
        <v>133</v>
      </c>
      <c r="J6" s="475" t="s">
        <v>13</v>
      </c>
    </row>
    <row r="7" spans="1:10" ht="25.5" customHeight="1" thickBot="1" x14ac:dyDescent="0.25">
      <c r="A7" s="906"/>
      <c r="B7" s="160" t="s">
        <v>502</v>
      </c>
      <c r="C7" s="160" t="s">
        <v>502</v>
      </c>
      <c r="D7" s="160" t="s">
        <v>502</v>
      </c>
      <c r="E7" s="160" t="s">
        <v>502</v>
      </c>
      <c r="F7" s="160" t="s">
        <v>502</v>
      </c>
      <c r="G7" s="160" t="s">
        <v>502</v>
      </c>
      <c r="H7" s="160" t="s">
        <v>502</v>
      </c>
      <c r="I7" s="160" t="s">
        <v>502</v>
      </c>
      <c r="J7" s="160" t="s">
        <v>502</v>
      </c>
    </row>
    <row r="8" spans="1:10" s="312" customFormat="1" ht="27.75" customHeight="1" thickBot="1" x14ac:dyDescent="0.25">
      <c r="A8" s="338" t="s">
        <v>283</v>
      </c>
      <c r="B8" s="518"/>
      <c r="C8" s="520"/>
      <c r="D8" s="519"/>
      <c r="E8" s="520">
        <v>4858000</v>
      </c>
      <c r="F8" s="519"/>
      <c r="G8" s="519">
        <v>18755816</v>
      </c>
      <c r="H8" s="519"/>
      <c r="I8" s="521"/>
      <c r="J8" s="515">
        <f>SUM(B8:I8)</f>
        <v>23613816</v>
      </c>
    </row>
    <row r="9" spans="1:10" ht="13.5" thickBot="1" x14ac:dyDescent="0.25">
      <c r="A9" s="647" t="s">
        <v>146</v>
      </c>
      <c r="B9" s="522"/>
      <c r="C9" s="259"/>
      <c r="D9" s="316"/>
      <c r="E9" s="259">
        <v>1535000</v>
      </c>
      <c r="F9" s="316"/>
      <c r="G9" s="259"/>
      <c r="H9" s="316"/>
      <c r="I9" s="523"/>
      <c r="J9" s="515">
        <f t="shared" ref="J9:J26" si="0">SUM(B9:I9)</f>
        <v>1535000</v>
      </c>
    </row>
    <row r="10" spans="1:10" s="68" customFormat="1" ht="27.75" customHeight="1" thickBot="1" x14ac:dyDescent="0.25">
      <c r="A10" s="732" t="s">
        <v>140</v>
      </c>
      <c r="B10" s="526">
        <v>3696000</v>
      </c>
      <c r="C10" s="517"/>
      <c r="D10" s="517"/>
      <c r="E10" s="517">
        <v>72986000</v>
      </c>
      <c r="F10" s="517">
        <v>1529000</v>
      </c>
      <c r="G10" s="517"/>
      <c r="H10" s="517"/>
      <c r="I10" s="527"/>
      <c r="J10" s="515">
        <f t="shared" si="0"/>
        <v>78211000</v>
      </c>
    </row>
    <row r="11" spans="1:10" s="734" customFormat="1" ht="15.75" customHeight="1" thickBot="1" x14ac:dyDescent="0.25">
      <c r="A11" s="551" t="s">
        <v>142</v>
      </c>
      <c r="B11" s="526">
        <v>330516030</v>
      </c>
      <c r="C11" s="517"/>
      <c r="D11" s="517"/>
      <c r="E11" s="733"/>
      <c r="F11" s="517"/>
      <c r="G11" s="733"/>
      <c r="H11" s="733"/>
      <c r="I11" s="527">
        <v>12274215</v>
      </c>
      <c r="J11" s="515">
        <f t="shared" si="0"/>
        <v>342790245</v>
      </c>
    </row>
    <row r="12" spans="1:10" s="734" customFormat="1" ht="15.75" customHeight="1" thickBot="1" x14ac:dyDescent="0.25">
      <c r="A12" s="735" t="s">
        <v>306</v>
      </c>
      <c r="B12" s="526"/>
      <c r="C12" s="517"/>
      <c r="D12" s="517"/>
      <c r="E12" s="733"/>
      <c r="F12" s="517"/>
      <c r="G12" s="733"/>
      <c r="H12" s="733"/>
      <c r="I12" s="527">
        <v>174596133</v>
      </c>
      <c r="J12" s="515">
        <f t="shared" si="0"/>
        <v>174596133</v>
      </c>
    </row>
    <row r="13" spans="1:10" s="734" customFormat="1" ht="15.75" customHeight="1" thickBot="1" x14ac:dyDescent="0.25">
      <c r="A13" s="735" t="s">
        <v>358</v>
      </c>
      <c r="B13" s="526">
        <v>26596000</v>
      </c>
      <c r="C13" s="517"/>
      <c r="D13" s="517"/>
      <c r="E13" s="733"/>
      <c r="F13" s="517"/>
      <c r="G13" s="733"/>
      <c r="H13" s="733"/>
      <c r="I13" s="527"/>
      <c r="J13" s="515">
        <f t="shared" si="0"/>
        <v>26596000</v>
      </c>
    </row>
    <row r="14" spans="1:10" s="68" customFormat="1" ht="13.5" thickBot="1" x14ac:dyDescent="0.25">
      <c r="A14" s="735" t="s">
        <v>145</v>
      </c>
      <c r="B14" s="526">
        <v>313046866</v>
      </c>
      <c r="C14" s="517">
        <v>1351163</v>
      </c>
      <c r="D14" s="736"/>
      <c r="E14" s="517">
        <v>20626000</v>
      </c>
      <c r="F14" s="517">
        <v>10000</v>
      </c>
      <c r="G14" s="736"/>
      <c r="H14" s="736"/>
      <c r="I14" s="527"/>
      <c r="J14" s="515">
        <f t="shared" si="0"/>
        <v>335034029</v>
      </c>
    </row>
    <row r="15" spans="1:10" s="68" customFormat="1" ht="15.75" customHeight="1" thickBot="1" x14ac:dyDescent="0.25">
      <c r="A15" s="732" t="s">
        <v>282</v>
      </c>
      <c r="B15" s="526"/>
      <c r="C15" s="517"/>
      <c r="D15" s="517"/>
      <c r="E15" s="517">
        <v>39243000</v>
      </c>
      <c r="F15" s="517"/>
      <c r="G15" s="517"/>
      <c r="H15" s="517"/>
      <c r="I15" s="527"/>
      <c r="J15" s="515">
        <f t="shared" si="0"/>
        <v>39243000</v>
      </c>
    </row>
    <row r="16" spans="1:10" s="68" customFormat="1" ht="13.5" thickBot="1" x14ac:dyDescent="0.25">
      <c r="A16" s="551" t="s">
        <v>325</v>
      </c>
      <c r="B16" s="526"/>
      <c r="C16" s="517">
        <v>199531992</v>
      </c>
      <c r="D16" s="517"/>
      <c r="E16" s="517"/>
      <c r="F16" s="517"/>
      <c r="G16" s="517"/>
      <c r="H16" s="517"/>
      <c r="I16" s="527"/>
      <c r="J16" s="515">
        <f t="shared" si="0"/>
        <v>199531992</v>
      </c>
    </row>
    <row r="17" spans="1:10" s="68" customFormat="1" ht="13.5" thickBot="1" x14ac:dyDescent="0.25">
      <c r="A17" s="551" t="s">
        <v>359</v>
      </c>
      <c r="B17" s="526"/>
      <c r="C17" s="517"/>
      <c r="D17" s="517"/>
      <c r="E17" s="517">
        <v>762000</v>
      </c>
      <c r="F17" s="517"/>
      <c r="G17" s="517"/>
      <c r="H17" s="517"/>
      <c r="I17" s="527"/>
      <c r="J17" s="515">
        <f t="shared" si="0"/>
        <v>762000</v>
      </c>
    </row>
    <row r="18" spans="1:10" s="68" customFormat="1" ht="18" customHeight="1" thickBot="1" x14ac:dyDescent="0.25">
      <c r="A18" s="732" t="s">
        <v>289</v>
      </c>
      <c r="B18" s="526"/>
      <c r="C18" s="517"/>
      <c r="D18" s="517"/>
      <c r="E18" s="517">
        <v>635000</v>
      </c>
      <c r="F18" s="517"/>
      <c r="G18" s="517"/>
      <c r="H18" s="517"/>
      <c r="I18" s="527"/>
      <c r="J18" s="515">
        <f t="shared" si="0"/>
        <v>635000</v>
      </c>
    </row>
    <row r="19" spans="1:10" s="68" customFormat="1" ht="13.5" thickBot="1" x14ac:dyDescent="0.25">
      <c r="A19" s="551" t="s">
        <v>141</v>
      </c>
      <c r="B19" s="526">
        <v>2450000</v>
      </c>
      <c r="C19" s="517"/>
      <c r="D19" s="517"/>
      <c r="E19" s="517"/>
      <c r="F19" s="517"/>
      <c r="G19" s="517"/>
      <c r="H19" s="517"/>
      <c r="I19" s="527"/>
      <c r="J19" s="515">
        <f t="shared" si="0"/>
        <v>2450000</v>
      </c>
    </row>
    <row r="20" spans="1:10" s="68" customFormat="1" ht="13.5" thickBot="1" x14ac:dyDescent="0.25">
      <c r="A20" s="735" t="s">
        <v>170</v>
      </c>
      <c r="B20" s="526">
        <v>67980500</v>
      </c>
      <c r="C20" s="517"/>
      <c r="D20" s="517"/>
      <c r="E20" s="517">
        <v>1435000</v>
      </c>
      <c r="F20" s="517"/>
      <c r="G20" s="517"/>
      <c r="H20" s="517"/>
      <c r="I20" s="527"/>
      <c r="J20" s="515">
        <f t="shared" si="0"/>
        <v>69415500</v>
      </c>
    </row>
    <row r="21" spans="1:10" s="68" customFormat="1" ht="13.5" thickBot="1" x14ac:dyDescent="0.25">
      <c r="A21" s="735" t="s">
        <v>399</v>
      </c>
      <c r="B21" s="526">
        <v>6400000</v>
      </c>
      <c r="C21" s="517"/>
      <c r="D21" s="517"/>
      <c r="E21" s="517">
        <v>381000</v>
      </c>
      <c r="F21" s="517"/>
      <c r="G21" s="517"/>
      <c r="H21" s="517"/>
      <c r="I21" s="527"/>
      <c r="J21" s="515">
        <f t="shared" si="0"/>
        <v>6781000</v>
      </c>
    </row>
    <row r="22" spans="1:10" s="68" customFormat="1" ht="13.5" thickBot="1" x14ac:dyDescent="0.25">
      <c r="A22" s="735" t="s">
        <v>557</v>
      </c>
      <c r="B22" s="526">
        <v>282000</v>
      </c>
      <c r="C22" s="517"/>
      <c r="D22" s="517"/>
      <c r="E22" s="517"/>
      <c r="F22" s="517"/>
      <c r="G22" s="517"/>
      <c r="H22" s="517"/>
      <c r="I22" s="527"/>
      <c r="J22" s="515">
        <f t="shared" ref="J22" si="1">SUM(B22:I22)</f>
        <v>282000</v>
      </c>
    </row>
    <row r="23" spans="1:10" s="68" customFormat="1" ht="13.5" thickBot="1" x14ac:dyDescent="0.25">
      <c r="A23" s="735" t="s">
        <v>144</v>
      </c>
      <c r="B23" s="526"/>
      <c r="C23" s="517"/>
      <c r="D23" s="736"/>
      <c r="E23" s="517">
        <v>8000</v>
      </c>
      <c r="F23" s="736"/>
      <c r="G23" s="736"/>
      <c r="H23" s="736"/>
      <c r="I23" s="527"/>
      <c r="J23" s="515">
        <f t="shared" si="0"/>
        <v>8000</v>
      </c>
    </row>
    <row r="24" spans="1:10" s="68" customFormat="1" ht="13.5" thickBot="1" x14ac:dyDescent="0.25">
      <c r="A24" s="735" t="s">
        <v>360</v>
      </c>
      <c r="B24" s="526"/>
      <c r="C24" s="517"/>
      <c r="D24" s="736"/>
      <c r="E24" s="517"/>
      <c r="F24" s="736"/>
      <c r="G24" s="517">
        <v>3000000</v>
      </c>
      <c r="H24" s="736"/>
      <c r="I24" s="527"/>
      <c r="J24" s="515">
        <f t="shared" si="0"/>
        <v>3000000</v>
      </c>
    </row>
    <row r="25" spans="1:10" s="68" customFormat="1" ht="26.25" thickBot="1" x14ac:dyDescent="0.25">
      <c r="A25" s="872" t="s">
        <v>334</v>
      </c>
      <c r="B25" s="526">
        <v>3500000</v>
      </c>
      <c r="C25" s="517"/>
      <c r="D25" s="736"/>
      <c r="E25" s="517"/>
      <c r="F25" s="736"/>
      <c r="G25" s="517"/>
      <c r="H25" s="736"/>
      <c r="I25" s="527"/>
      <c r="J25" s="515">
        <f>SUM(B25:I25)</f>
        <v>3500000</v>
      </c>
    </row>
    <row r="26" spans="1:10" s="68" customFormat="1" ht="30" customHeight="1" thickBot="1" x14ac:dyDescent="0.25">
      <c r="A26" s="732" t="s">
        <v>143</v>
      </c>
      <c r="B26" s="526"/>
      <c r="C26" s="517"/>
      <c r="D26" s="517">
        <v>135921000</v>
      </c>
      <c r="E26" s="517"/>
      <c r="F26" s="517"/>
      <c r="G26" s="517"/>
      <c r="H26" s="517"/>
      <c r="I26" s="527"/>
      <c r="J26" s="515">
        <f t="shared" si="0"/>
        <v>135921000</v>
      </c>
    </row>
    <row r="27" spans="1:10" s="162" customFormat="1" ht="13.5" thickBot="1" x14ac:dyDescent="0.25">
      <c r="A27" s="314" t="s">
        <v>13</v>
      </c>
      <c r="B27" s="516">
        <f t="shared" ref="B27:J27" si="2">SUM(B8:B26)</f>
        <v>754467396</v>
      </c>
      <c r="C27" s="516">
        <f t="shared" si="2"/>
        <v>200883155</v>
      </c>
      <c r="D27" s="516">
        <f t="shared" si="2"/>
        <v>135921000</v>
      </c>
      <c r="E27" s="516">
        <f t="shared" si="2"/>
        <v>142469000</v>
      </c>
      <c r="F27" s="516">
        <f t="shared" si="2"/>
        <v>1539000</v>
      </c>
      <c r="G27" s="516">
        <f t="shared" si="2"/>
        <v>21755816</v>
      </c>
      <c r="H27" s="516">
        <f t="shared" si="2"/>
        <v>0</v>
      </c>
      <c r="I27" s="516">
        <f t="shared" si="2"/>
        <v>186870348</v>
      </c>
      <c r="J27" s="476">
        <f t="shared" si="2"/>
        <v>1443905715</v>
      </c>
    </row>
    <row r="30" spans="1:10" x14ac:dyDescent="0.2">
      <c r="B30" s="452"/>
    </row>
    <row r="32" spans="1:10" x14ac:dyDescent="0.2">
      <c r="B32" s="452"/>
    </row>
    <row r="33" spans="10:10" x14ac:dyDescent="0.2">
      <c r="J33" s="98"/>
    </row>
  </sheetData>
  <mergeCells count="2">
    <mergeCell ref="A1:J2"/>
    <mergeCell ref="A6:A7"/>
  </mergeCells>
  <phoneticPr fontId="38" type="noConversion"/>
  <pageMargins left="0.75" right="0.75" top="1" bottom="1" header="0.5" footer="0.5"/>
  <pageSetup paperSize="9" scale="61" orientation="landscape" r:id="rId1"/>
  <headerFooter alignWithMargins="0">
    <oddHeader>&amp;R3. sz. melléklete
........./2025.(II.13.) Egyek Önk.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zoomScale="130" zoomScaleNormal="130" zoomScaleSheetLayoutView="110" workbookViewId="0">
      <selection activeCell="G9" sqref="G9"/>
    </sheetView>
  </sheetViews>
  <sheetFormatPr defaultRowHeight="12.75" x14ac:dyDescent="0.2"/>
  <cols>
    <col min="2" max="2" width="20.42578125" bestFit="1" customWidth="1"/>
    <col min="3" max="3" width="8.7109375" bestFit="1" customWidth="1"/>
    <col min="4" max="4" width="18.28515625" bestFit="1" customWidth="1"/>
    <col min="5" max="5" width="14.85546875" customWidth="1"/>
    <col min="6" max="6" width="14.42578125" customWidth="1"/>
    <col min="7" max="7" width="10.140625" bestFit="1" customWidth="1"/>
    <col min="8" max="8" width="12.85546875" customWidth="1"/>
    <col min="9" max="9" width="15" customWidth="1"/>
  </cols>
  <sheetData>
    <row r="1" spans="1:11" s="355" customFormat="1" ht="69" customHeight="1" x14ac:dyDescent="0.25">
      <c r="A1" s="979" t="s">
        <v>286</v>
      </c>
      <c r="B1" s="979"/>
      <c r="C1" s="979"/>
      <c r="D1" s="979"/>
      <c r="E1" s="979"/>
      <c r="F1" s="979"/>
      <c r="G1" s="979"/>
      <c r="H1" s="979"/>
      <c r="I1" s="979"/>
    </row>
    <row r="2" spans="1:11" s="355" customFormat="1" ht="69" customHeight="1" thickBot="1" x14ac:dyDescent="0.25">
      <c r="A2" s="352"/>
      <c r="B2" s="353"/>
      <c r="C2" s="354"/>
      <c r="D2" s="354"/>
      <c r="E2" s="354"/>
      <c r="F2" s="354"/>
      <c r="G2" s="354"/>
      <c r="H2" s="354"/>
      <c r="I2" s="720" t="s">
        <v>305</v>
      </c>
    </row>
    <row r="3" spans="1:11" s="356" customFormat="1" ht="69" customHeight="1" thickBot="1" x14ac:dyDescent="0.25">
      <c r="A3" s="980" t="s">
        <v>43</v>
      </c>
      <c r="B3" s="982" t="s">
        <v>55</v>
      </c>
      <c r="C3" s="984" t="s">
        <v>56</v>
      </c>
      <c r="D3" s="985" t="s">
        <v>563</v>
      </c>
      <c r="E3" s="987" t="s">
        <v>57</v>
      </c>
      <c r="F3" s="987"/>
      <c r="G3" s="987"/>
      <c r="H3" s="987"/>
      <c r="I3" s="988" t="s">
        <v>24</v>
      </c>
    </row>
    <row r="4" spans="1:11" s="356" customFormat="1" ht="24.75" customHeight="1" thickBot="1" x14ac:dyDescent="0.25">
      <c r="A4" s="981"/>
      <c r="B4" s="983"/>
      <c r="C4" s="983"/>
      <c r="D4" s="986"/>
      <c r="E4" s="778" t="s">
        <v>390</v>
      </c>
      <c r="F4" s="778" t="s">
        <v>402</v>
      </c>
      <c r="G4" s="778" t="s">
        <v>471</v>
      </c>
      <c r="H4" s="778" t="s">
        <v>540</v>
      </c>
      <c r="I4" s="989"/>
    </row>
    <row r="5" spans="1:11" s="357" customFormat="1" ht="40.5" customHeight="1" thickBot="1" x14ac:dyDescent="0.25">
      <c r="A5" s="779" t="s">
        <v>2</v>
      </c>
      <c r="B5" s="788" t="s">
        <v>58</v>
      </c>
      <c r="C5" s="493" t="s">
        <v>253</v>
      </c>
      <c r="D5" s="789">
        <f>SUM(D7)</f>
        <v>41000000</v>
      </c>
      <c r="E5" s="493">
        <f>SUM(E6:E7)</f>
        <v>0</v>
      </c>
      <c r="F5" s="493">
        <f t="shared" ref="F5:I5" si="0">SUM(F6:F7)</f>
        <v>0</v>
      </c>
      <c r="G5" s="493">
        <f t="shared" si="0"/>
        <v>0</v>
      </c>
      <c r="H5" s="790">
        <f t="shared" si="0"/>
        <v>0</v>
      </c>
      <c r="I5" s="793">
        <f t="shared" si="0"/>
        <v>146447518</v>
      </c>
    </row>
    <row r="6" spans="1:11" s="357" customFormat="1" ht="23.25" thickBot="1" x14ac:dyDescent="0.25">
      <c r="A6" s="779" t="s">
        <v>50</v>
      </c>
      <c r="B6" s="785" t="s">
        <v>405</v>
      </c>
      <c r="C6" s="786"/>
      <c r="D6" s="787">
        <f>102763969+2683549</f>
        <v>105447518</v>
      </c>
      <c r="E6" s="786"/>
      <c r="F6" s="786"/>
      <c r="G6" s="786"/>
      <c r="H6" s="791"/>
      <c r="I6" s="794">
        <f>SUM(D6:H6)</f>
        <v>105447518</v>
      </c>
    </row>
    <row r="7" spans="1:11" s="357" customFormat="1" ht="37.5" customHeight="1" thickBot="1" x14ac:dyDescent="0.25">
      <c r="A7" s="780" t="s">
        <v>406</v>
      </c>
      <c r="B7" s="781" t="s">
        <v>107</v>
      </c>
      <c r="C7" s="782" t="s">
        <v>253</v>
      </c>
      <c r="D7" s="783">
        <v>41000000</v>
      </c>
      <c r="E7" s="784"/>
      <c r="F7" s="784" t="s">
        <v>253</v>
      </c>
      <c r="G7" s="784" t="s">
        <v>253</v>
      </c>
      <c r="H7" s="792" t="s">
        <v>253</v>
      </c>
      <c r="I7" s="795">
        <f>SUM(D7:H7)</f>
        <v>41000000</v>
      </c>
    </row>
    <row r="8" spans="1:11" s="357" customFormat="1" ht="43.5" customHeight="1" thickBot="1" x14ac:dyDescent="0.25">
      <c r="A8" s="780" t="s">
        <v>6</v>
      </c>
      <c r="B8" s="806" t="s">
        <v>59</v>
      </c>
      <c r="C8" s="493"/>
      <c r="D8" s="546">
        <f>SUM(D9:D23)</f>
        <v>309539529</v>
      </c>
      <c r="E8" s="546">
        <f t="shared" ref="E8" si="1">SUM(E9:E23)</f>
        <v>63150610</v>
      </c>
      <c r="F8" s="546">
        <f>SUM(F9:F23)</f>
        <v>11625855</v>
      </c>
      <c r="G8" s="546">
        <f>SUM(G9:G23)</f>
        <v>2278055</v>
      </c>
      <c r="H8" s="546">
        <f>SUM(H9:H23)</f>
        <v>2019799</v>
      </c>
      <c r="I8" s="796">
        <f>SUM(I9:I23)</f>
        <v>388613848</v>
      </c>
      <c r="K8" s="777"/>
    </row>
    <row r="9" spans="1:11" s="471" customFormat="1" ht="75.75" customHeight="1" x14ac:dyDescent="0.2">
      <c r="A9" s="797" t="s">
        <v>51</v>
      </c>
      <c r="B9" s="802" t="s">
        <v>269</v>
      </c>
      <c r="C9" s="803" t="s">
        <v>83</v>
      </c>
      <c r="D9" s="804">
        <f>20050894+2544216+1422345</f>
        <v>24017455</v>
      </c>
      <c r="E9" s="804"/>
      <c r="F9" s="804">
        <v>0</v>
      </c>
      <c r="G9" s="804">
        <v>0</v>
      </c>
      <c r="H9" s="807">
        <v>0</v>
      </c>
      <c r="I9" s="810">
        <f>SUM(D9:H9)</f>
        <v>24017455</v>
      </c>
    </row>
    <row r="10" spans="1:11" s="471" customFormat="1" ht="40.5" customHeight="1" x14ac:dyDescent="0.2">
      <c r="A10" s="798" t="s">
        <v>52</v>
      </c>
      <c r="B10" s="805" t="s">
        <v>308</v>
      </c>
      <c r="C10" s="494" t="s">
        <v>309</v>
      </c>
      <c r="D10" s="495">
        <f>9075261+1643953+1447327</f>
        <v>12166541</v>
      </c>
      <c r="E10" s="495">
        <v>1243618</v>
      </c>
      <c r="F10" s="495">
        <v>862755</v>
      </c>
      <c r="H10" s="808">
        <v>0</v>
      </c>
      <c r="I10" s="811">
        <f t="shared" ref="I10:I16" si="2">SUM(D10:H10)</f>
        <v>14272914</v>
      </c>
    </row>
    <row r="11" spans="1:11" s="471" customFormat="1" ht="52.5" customHeight="1" x14ac:dyDescent="0.2">
      <c r="A11" s="798" t="s">
        <v>53</v>
      </c>
      <c r="B11" s="805" t="s">
        <v>254</v>
      </c>
      <c r="C11" s="494" t="s">
        <v>83</v>
      </c>
      <c r="D11" s="495">
        <f>9975620+1231214+1033115</f>
        <v>12239949</v>
      </c>
      <c r="E11" s="495"/>
      <c r="F11" s="495"/>
      <c r="G11" s="495"/>
      <c r="H11" s="808"/>
      <c r="I11" s="811">
        <f t="shared" si="2"/>
        <v>12239949</v>
      </c>
    </row>
    <row r="12" spans="1:11" s="471" customFormat="1" ht="56.25" x14ac:dyDescent="0.2">
      <c r="A12" s="798" t="s">
        <v>54</v>
      </c>
      <c r="B12" s="805" t="s">
        <v>255</v>
      </c>
      <c r="C12" s="494" t="s">
        <v>83</v>
      </c>
      <c r="D12" s="495">
        <f>342364+42560+37165</f>
        <v>422089</v>
      </c>
      <c r="E12" s="495"/>
      <c r="F12" s="495"/>
      <c r="G12" s="495"/>
      <c r="H12" s="808"/>
      <c r="I12" s="811">
        <f t="shared" si="2"/>
        <v>422089</v>
      </c>
    </row>
    <row r="13" spans="1:11" s="471" customFormat="1" ht="135" x14ac:dyDescent="0.2">
      <c r="A13" s="798" t="s">
        <v>181</v>
      </c>
      <c r="B13" s="805" t="s">
        <v>261</v>
      </c>
      <c r="C13" s="494" t="s">
        <v>83</v>
      </c>
      <c r="D13" s="495">
        <f>1500394+185920+159055</f>
        <v>1845369</v>
      </c>
      <c r="E13" s="495"/>
      <c r="F13" s="495"/>
      <c r="G13" s="495"/>
      <c r="H13" s="808"/>
      <c r="I13" s="811">
        <f t="shared" si="2"/>
        <v>1845369</v>
      </c>
    </row>
    <row r="14" spans="1:11" s="471" customFormat="1" ht="22.5" x14ac:dyDescent="0.2">
      <c r="A14" s="798" t="s">
        <v>182</v>
      </c>
      <c r="B14" s="805" t="s">
        <v>256</v>
      </c>
      <c r="C14" s="494" t="s">
        <v>83</v>
      </c>
      <c r="D14" s="495">
        <f>10466259+1292675+E14</f>
        <v>11758934</v>
      </c>
      <c r="E14" s="495"/>
      <c r="F14" s="495"/>
      <c r="G14" s="495"/>
      <c r="H14" s="808"/>
      <c r="I14" s="811">
        <f t="shared" si="2"/>
        <v>11758934</v>
      </c>
    </row>
    <row r="15" spans="1:11" s="471" customFormat="1" ht="45" x14ac:dyDescent="0.2">
      <c r="A15" s="798" t="s">
        <v>382</v>
      </c>
      <c r="B15" s="805" t="s">
        <v>274</v>
      </c>
      <c r="C15" s="494" t="s">
        <v>272</v>
      </c>
      <c r="D15" s="495">
        <f>7117283+1153709+962435</f>
        <v>9233427</v>
      </c>
      <c r="E15" s="668">
        <v>424551</v>
      </c>
      <c r="F15" s="876"/>
      <c r="G15" s="668"/>
      <c r="H15" s="809"/>
      <c r="I15" s="811">
        <f t="shared" si="2"/>
        <v>9657978</v>
      </c>
    </row>
    <row r="16" spans="1:11" s="471" customFormat="1" ht="69" customHeight="1" x14ac:dyDescent="0.2">
      <c r="A16" s="798" t="s">
        <v>383</v>
      </c>
      <c r="B16" s="805" t="s">
        <v>270</v>
      </c>
      <c r="C16" s="494" t="s">
        <v>272</v>
      </c>
      <c r="D16" s="495">
        <f>12840232+2076918+1831521</f>
        <v>16748671</v>
      </c>
      <c r="E16" s="668">
        <v>1308758</v>
      </c>
      <c r="G16" s="668"/>
      <c r="H16" s="809"/>
      <c r="I16" s="811">
        <f t="shared" si="2"/>
        <v>18057429</v>
      </c>
    </row>
    <row r="17" spans="1:9" s="471" customFormat="1" ht="69" customHeight="1" x14ac:dyDescent="0.2">
      <c r="A17" s="799" t="s">
        <v>384</v>
      </c>
      <c r="B17" s="805" t="s">
        <v>330</v>
      </c>
      <c r="C17" s="494" t="s">
        <v>260</v>
      </c>
      <c r="D17" s="495">
        <f>25679449+12122911+10791459</f>
        <v>48593819</v>
      </c>
      <c r="E17" s="668">
        <v>21754648</v>
      </c>
      <c r="F17" s="668">
        <v>8224654</v>
      </c>
      <c r="G17" s="809"/>
      <c r="H17" s="876"/>
      <c r="I17" s="877">
        <f>SUM(D17:G17)</f>
        <v>78573121</v>
      </c>
    </row>
    <row r="18" spans="1:9" s="471" customFormat="1" ht="69" customHeight="1" x14ac:dyDescent="0.2">
      <c r="A18" s="799" t="s">
        <v>385</v>
      </c>
      <c r="B18" s="805" t="s">
        <v>344</v>
      </c>
      <c r="C18" s="494" t="s">
        <v>267</v>
      </c>
      <c r="D18" s="495">
        <f>15715063+8732960+7978618</f>
        <v>32426641</v>
      </c>
      <c r="E18" s="668">
        <v>21877748</v>
      </c>
      <c r="F18" s="668"/>
      <c r="G18" s="809"/>
      <c r="H18" s="876"/>
      <c r="I18" s="877">
        <f>SUM(D18:G18)</f>
        <v>54304389</v>
      </c>
    </row>
    <row r="19" spans="1:9" s="471" customFormat="1" ht="69" customHeight="1" x14ac:dyDescent="0.2">
      <c r="A19" s="799" t="s">
        <v>273</v>
      </c>
      <c r="B19" s="805" t="s">
        <v>277</v>
      </c>
      <c r="C19" s="494" t="s">
        <v>272</v>
      </c>
      <c r="D19" s="495">
        <f>20298285+376190+320110</f>
        <v>20994585</v>
      </c>
      <c r="E19" s="668">
        <v>149368</v>
      </c>
      <c r="G19" s="668"/>
      <c r="H19" s="809"/>
      <c r="I19" s="811">
        <f>SUM(D19:H19)</f>
        <v>21143953</v>
      </c>
    </row>
    <row r="20" spans="1:9" s="471" customFormat="1" ht="69" customHeight="1" x14ac:dyDescent="0.2">
      <c r="A20" s="799" t="s">
        <v>275</v>
      </c>
      <c r="B20" s="805" t="s">
        <v>350</v>
      </c>
      <c r="C20" s="494" t="s">
        <v>300</v>
      </c>
      <c r="D20" s="495">
        <f>1678673+1639094+1513314</f>
        <v>4831081</v>
      </c>
      <c r="E20" s="668">
        <v>1382271</v>
      </c>
      <c r="F20" s="668">
        <v>1253692</v>
      </c>
      <c r="G20" s="809">
        <v>1125113</v>
      </c>
      <c r="H20" s="878">
        <v>997589</v>
      </c>
      <c r="I20" s="877">
        <f>SUM(D20:H20)</f>
        <v>9589746</v>
      </c>
    </row>
    <row r="21" spans="1:9" s="471" customFormat="1" ht="60" customHeight="1" x14ac:dyDescent="0.2">
      <c r="A21" s="800" t="s">
        <v>276</v>
      </c>
      <c r="B21" s="805" t="s">
        <v>337</v>
      </c>
      <c r="C21" s="494" t="s">
        <v>300</v>
      </c>
      <c r="D21" s="495">
        <f>1720758+1679850+1550904</f>
        <v>4951512</v>
      </c>
      <c r="E21" s="668">
        <v>1416568</v>
      </c>
      <c r="F21" s="668">
        <v>1284754</v>
      </c>
      <c r="G21" s="809">
        <v>1152942</v>
      </c>
      <c r="H21" s="878">
        <v>1022210</v>
      </c>
      <c r="I21" s="877">
        <f>SUM(D21:H21)</f>
        <v>9827986</v>
      </c>
    </row>
    <row r="22" spans="1:9" s="471" customFormat="1" ht="60" customHeight="1" x14ac:dyDescent="0.2">
      <c r="A22" s="800" t="s">
        <v>407</v>
      </c>
      <c r="B22" s="805" t="s">
        <v>408</v>
      </c>
      <c r="C22" s="494" t="s">
        <v>328</v>
      </c>
      <c r="D22" s="495">
        <f>3458700+2153756</f>
        <v>5612456</v>
      </c>
      <c r="E22" s="495">
        <v>13593080</v>
      </c>
      <c r="F22" s="668"/>
      <c r="G22" s="668"/>
      <c r="H22" s="809"/>
      <c r="I22" s="811">
        <f t="shared" ref="I22" si="3">SUM(D22:H22)</f>
        <v>19205536</v>
      </c>
    </row>
    <row r="23" spans="1:9" s="471" customFormat="1" ht="60" customHeight="1" thickBot="1" x14ac:dyDescent="0.25">
      <c r="A23" s="801" t="s">
        <v>474</v>
      </c>
      <c r="B23" s="812" t="s">
        <v>475</v>
      </c>
      <c r="C23" s="496">
        <v>2023</v>
      </c>
      <c r="D23" s="497">
        <v>103697000</v>
      </c>
      <c r="F23" s="813">
        <v>0</v>
      </c>
      <c r="G23" s="813">
        <v>0</v>
      </c>
      <c r="H23" s="814">
        <v>0</v>
      </c>
      <c r="I23" s="815">
        <f>SUM(D23:H23)</f>
        <v>103697000</v>
      </c>
    </row>
    <row r="24" spans="1:9" s="471" customFormat="1" ht="23.25" thickBot="1" x14ac:dyDescent="0.25">
      <c r="A24" s="816" t="s">
        <v>10</v>
      </c>
      <c r="B24" s="827" t="s">
        <v>60</v>
      </c>
      <c r="C24" s="498" t="s">
        <v>253</v>
      </c>
      <c r="D24" s="498">
        <f t="shared" ref="D24:I24" si="4">SUM(D25:D27)</f>
        <v>135560366</v>
      </c>
      <c r="E24" s="498">
        <f t="shared" si="4"/>
        <v>0</v>
      </c>
      <c r="F24" s="498">
        <f t="shared" si="4"/>
        <v>0</v>
      </c>
      <c r="G24" s="498">
        <f t="shared" si="4"/>
        <v>0</v>
      </c>
      <c r="H24" s="828">
        <f t="shared" si="4"/>
        <v>0</v>
      </c>
      <c r="I24" s="821">
        <f t="shared" si="4"/>
        <v>135560366</v>
      </c>
    </row>
    <row r="25" spans="1:9" s="471" customFormat="1" ht="13.5" thickBot="1" x14ac:dyDescent="0.25">
      <c r="A25" s="816" t="s">
        <v>45</v>
      </c>
      <c r="B25" s="824" t="s">
        <v>477</v>
      </c>
      <c r="C25" s="825" t="s">
        <v>343</v>
      </c>
      <c r="D25" s="825">
        <f>13453220+14091364</f>
        <v>27544584</v>
      </c>
      <c r="E25" s="825"/>
      <c r="F25" s="825"/>
      <c r="G25" s="825"/>
      <c r="H25" s="826"/>
      <c r="I25" s="822">
        <f t="shared" ref="I25:I27" si="5">SUM(D25:H25)</f>
        <v>27544584</v>
      </c>
    </row>
    <row r="26" spans="1:9" s="471" customFormat="1" ht="23.25" thickBot="1" x14ac:dyDescent="0.25">
      <c r="A26" s="816" t="s">
        <v>46</v>
      </c>
      <c r="B26" s="817" t="s">
        <v>312</v>
      </c>
      <c r="C26" s="669" t="s">
        <v>267</v>
      </c>
      <c r="D26" s="669">
        <f>20399246+629282+2731606+73935648</f>
        <v>97695782</v>
      </c>
      <c r="E26" s="669"/>
      <c r="F26" s="669"/>
      <c r="G26" s="669"/>
      <c r="H26" s="819"/>
      <c r="I26" s="822">
        <f t="shared" si="5"/>
        <v>97695782</v>
      </c>
    </row>
    <row r="27" spans="1:9" s="471" customFormat="1" ht="23.25" thickBot="1" x14ac:dyDescent="0.25">
      <c r="A27" s="816" t="s">
        <v>386</v>
      </c>
      <c r="B27" s="817" t="s">
        <v>327</v>
      </c>
      <c r="C27" s="669">
        <v>2019</v>
      </c>
      <c r="D27" s="669">
        <f>2700000+7620000</f>
        <v>10320000</v>
      </c>
      <c r="E27" s="669"/>
      <c r="F27" s="669"/>
      <c r="G27" s="669"/>
      <c r="H27" s="819"/>
      <c r="I27" s="822">
        <f t="shared" si="5"/>
        <v>10320000</v>
      </c>
    </row>
    <row r="28" spans="1:9" s="471" customFormat="1" ht="13.5" thickBot="1" x14ac:dyDescent="0.25">
      <c r="A28" s="831" t="s">
        <v>4</v>
      </c>
      <c r="B28" s="834" t="s">
        <v>65</v>
      </c>
      <c r="C28" s="835"/>
      <c r="D28" s="834">
        <f>SUM(D29:D52)</f>
        <v>80801676</v>
      </c>
      <c r="E28" s="834">
        <f t="shared" ref="E28:I28" si="6">SUM(E29:E52)</f>
        <v>13327428.35</v>
      </c>
      <c r="F28" s="834">
        <f t="shared" si="6"/>
        <v>13327428.35</v>
      </c>
      <c r="G28" s="834">
        <f t="shared" si="6"/>
        <v>13327428.35</v>
      </c>
      <c r="H28" s="834">
        <f t="shared" si="6"/>
        <v>13327428.35</v>
      </c>
      <c r="I28" s="833">
        <f t="shared" si="6"/>
        <v>134111389.40000001</v>
      </c>
    </row>
    <row r="29" spans="1:9" s="471" customFormat="1" x14ac:dyDescent="0.2">
      <c r="A29" s="798" t="s">
        <v>493</v>
      </c>
      <c r="B29" s="832" t="s">
        <v>108</v>
      </c>
      <c r="C29" s="494" t="s">
        <v>74</v>
      </c>
      <c r="D29" s="495">
        <f>7679840+980000</f>
        <v>8659840</v>
      </c>
      <c r="E29" s="495">
        <v>980000</v>
      </c>
      <c r="F29" s="495">
        <v>980000</v>
      </c>
      <c r="G29" s="495">
        <v>980000</v>
      </c>
      <c r="H29" s="808">
        <v>980000</v>
      </c>
      <c r="I29" s="811">
        <f t="shared" ref="I29:I33" si="7">D29+E29+F29+G29+H29</f>
        <v>12579840</v>
      </c>
    </row>
    <row r="30" spans="1:9" s="471" customFormat="1" ht="69" customHeight="1" x14ac:dyDescent="0.2">
      <c r="A30" s="798" t="s">
        <v>183</v>
      </c>
      <c r="B30" s="832" t="s">
        <v>178</v>
      </c>
      <c r="C30" s="494" t="s">
        <v>177</v>
      </c>
      <c r="D30" s="495">
        <f>11840000+500000</f>
        <v>12340000</v>
      </c>
      <c r="E30" s="495"/>
      <c r="F30" s="495"/>
      <c r="G30" s="495"/>
      <c r="H30" s="808"/>
      <c r="I30" s="811">
        <f t="shared" si="7"/>
        <v>12340000</v>
      </c>
    </row>
    <row r="31" spans="1:9" s="513" customFormat="1" ht="33.75" x14ac:dyDescent="0.2">
      <c r="A31" s="798" t="s">
        <v>387</v>
      </c>
      <c r="B31" s="832" t="s">
        <v>179</v>
      </c>
      <c r="C31" s="494" t="s">
        <v>82</v>
      </c>
      <c r="D31" s="495">
        <f>6600000+660000</f>
        <v>7260000</v>
      </c>
      <c r="E31" s="495"/>
      <c r="F31" s="495"/>
      <c r="G31" s="495"/>
      <c r="H31" s="808"/>
      <c r="I31" s="811">
        <f t="shared" si="7"/>
        <v>7260000</v>
      </c>
    </row>
    <row r="32" spans="1:9" s="513" customFormat="1" ht="11.25" x14ac:dyDescent="0.2">
      <c r="A32" s="798" t="s">
        <v>388</v>
      </c>
      <c r="B32" s="832" t="s">
        <v>180</v>
      </c>
      <c r="C32" s="494" t="s">
        <v>177</v>
      </c>
      <c r="D32" s="495">
        <f>18345+1905000</f>
        <v>1923345</v>
      </c>
      <c r="E32" s="495">
        <v>1905000</v>
      </c>
      <c r="F32" s="495">
        <v>1905000</v>
      </c>
      <c r="G32" s="495">
        <v>1905000</v>
      </c>
      <c r="H32" s="808">
        <v>1905000</v>
      </c>
      <c r="I32" s="811">
        <f t="shared" si="7"/>
        <v>9543345</v>
      </c>
    </row>
    <row r="33" spans="1:9" s="513" customFormat="1" ht="22.5" x14ac:dyDescent="0.2">
      <c r="A33" s="799" t="s">
        <v>184</v>
      </c>
      <c r="B33" s="832" t="s">
        <v>278</v>
      </c>
      <c r="C33" s="494" t="s">
        <v>272</v>
      </c>
      <c r="D33" s="495">
        <f>4636000+2274000</f>
        <v>6910000</v>
      </c>
      <c r="E33" s="495">
        <v>2274000</v>
      </c>
      <c r="F33" s="495">
        <v>2274000</v>
      </c>
      <c r="G33" s="495">
        <v>2274000</v>
      </c>
      <c r="H33" s="808">
        <v>2274000</v>
      </c>
      <c r="I33" s="811">
        <f t="shared" si="7"/>
        <v>16006000</v>
      </c>
    </row>
    <row r="34" spans="1:9" s="513" customFormat="1" ht="22.5" x14ac:dyDescent="0.2">
      <c r="A34" s="798" t="s">
        <v>185</v>
      </c>
      <c r="B34" s="832" t="s">
        <v>205</v>
      </c>
      <c r="C34" s="494" t="s">
        <v>177</v>
      </c>
      <c r="D34" s="495">
        <f>1764382+189399</f>
        <v>1953781</v>
      </c>
      <c r="E34" s="495">
        <f>161191*1.175</f>
        <v>189399.42500000002</v>
      </c>
      <c r="F34" s="495">
        <f t="shared" ref="F34:H34" si="8">161191*1.175</f>
        <v>189399.42500000002</v>
      </c>
      <c r="G34" s="495">
        <f t="shared" si="8"/>
        <v>189399.42500000002</v>
      </c>
      <c r="H34" s="495">
        <f t="shared" si="8"/>
        <v>189399.42500000002</v>
      </c>
      <c r="I34" s="811">
        <f t="shared" ref="I34:I48" si="9">SUM(D34:H34)</f>
        <v>2711378.6999999993</v>
      </c>
    </row>
    <row r="35" spans="1:9" s="513" customFormat="1" ht="22.5" x14ac:dyDescent="0.2">
      <c r="A35" s="798" t="s">
        <v>257</v>
      </c>
      <c r="B35" s="832" t="s">
        <v>207</v>
      </c>
      <c r="C35" s="494" t="s">
        <v>82</v>
      </c>
      <c r="D35" s="495">
        <f>276280+116280+142504</f>
        <v>535064</v>
      </c>
      <c r="E35" s="495">
        <f>121280*1.175</f>
        <v>142504</v>
      </c>
      <c r="F35" s="495">
        <f t="shared" ref="F35:H35" si="10">121280*1.175</f>
        <v>142504</v>
      </c>
      <c r="G35" s="495">
        <f t="shared" si="10"/>
        <v>142504</v>
      </c>
      <c r="H35" s="495">
        <f t="shared" si="10"/>
        <v>142504</v>
      </c>
      <c r="I35" s="811">
        <f t="shared" si="9"/>
        <v>1105080</v>
      </c>
    </row>
    <row r="36" spans="1:9" s="513" customFormat="1" ht="22.5" x14ac:dyDescent="0.2">
      <c r="A36" s="798" t="s">
        <v>494</v>
      </c>
      <c r="B36" s="832" t="s">
        <v>329</v>
      </c>
      <c r="C36" s="494" t="s">
        <v>82</v>
      </c>
      <c r="D36" s="495">
        <f>5228040+868680+1020699</f>
        <v>7117419</v>
      </c>
      <c r="E36" s="495">
        <f>868680*1.175</f>
        <v>1020699</v>
      </c>
      <c r="F36" s="495">
        <f t="shared" ref="F36:H36" si="11">868680*1.175</f>
        <v>1020699</v>
      </c>
      <c r="G36" s="495">
        <f t="shared" si="11"/>
        <v>1020699</v>
      </c>
      <c r="H36" s="495">
        <f t="shared" si="11"/>
        <v>1020699</v>
      </c>
      <c r="I36" s="811">
        <f t="shared" si="9"/>
        <v>11200215</v>
      </c>
    </row>
    <row r="37" spans="1:9" s="513" customFormat="1" ht="22.5" x14ac:dyDescent="0.2">
      <c r="A37" s="798" t="s">
        <v>186</v>
      </c>
      <c r="B37" s="832" t="s">
        <v>210</v>
      </c>
      <c r="C37" s="494" t="s">
        <v>177</v>
      </c>
      <c r="D37" s="495">
        <f>754741+208991+245564</f>
        <v>1209296</v>
      </c>
      <c r="E37" s="495">
        <f>208991*1.175</f>
        <v>245564.42500000002</v>
      </c>
      <c r="F37" s="495">
        <f t="shared" ref="F37:H37" si="12">208991*1.175</f>
        <v>245564.42500000002</v>
      </c>
      <c r="G37" s="495">
        <f t="shared" si="12"/>
        <v>245564.42500000002</v>
      </c>
      <c r="H37" s="495">
        <f t="shared" si="12"/>
        <v>245564.42500000002</v>
      </c>
      <c r="I37" s="811">
        <f t="shared" si="9"/>
        <v>2191553.7000000002</v>
      </c>
    </row>
    <row r="38" spans="1:9" s="513" customFormat="1" ht="22.5" x14ac:dyDescent="0.2">
      <c r="A38" s="798" t="s">
        <v>187</v>
      </c>
      <c r="B38" s="832" t="s">
        <v>214</v>
      </c>
      <c r="C38" s="494" t="s">
        <v>82</v>
      </c>
      <c r="D38" s="495" t="s">
        <v>564</v>
      </c>
      <c r="E38" s="495">
        <f>45720*1.175</f>
        <v>53721</v>
      </c>
      <c r="F38" s="495">
        <f t="shared" ref="F38:H38" si="13">45720*1.175</f>
        <v>53721</v>
      </c>
      <c r="G38" s="495">
        <f t="shared" si="13"/>
        <v>53721</v>
      </c>
      <c r="H38" s="495">
        <f t="shared" si="13"/>
        <v>53721</v>
      </c>
      <c r="I38" s="811">
        <f t="shared" si="9"/>
        <v>214884</v>
      </c>
    </row>
    <row r="39" spans="1:9" s="513" customFormat="1" ht="22.5" x14ac:dyDescent="0.2">
      <c r="A39" s="798" t="s">
        <v>188</v>
      </c>
      <c r="B39" s="832" t="s">
        <v>409</v>
      </c>
      <c r="C39" s="494" t="s">
        <v>328</v>
      </c>
      <c r="D39" s="495" t="s">
        <v>565</v>
      </c>
      <c r="E39" s="495">
        <v>89535</v>
      </c>
      <c r="F39" s="495">
        <v>89535</v>
      </c>
      <c r="G39" s="495">
        <v>89535</v>
      </c>
      <c r="H39" s="808">
        <v>89535</v>
      </c>
      <c r="I39" s="811">
        <f t="shared" si="9"/>
        <v>358140</v>
      </c>
    </row>
    <row r="40" spans="1:9" s="513" customFormat="1" ht="22.5" x14ac:dyDescent="0.2">
      <c r="A40" s="798" t="s">
        <v>193</v>
      </c>
      <c r="B40" s="832" t="s">
        <v>410</v>
      </c>
      <c r="C40" s="494" t="s">
        <v>82</v>
      </c>
      <c r="D40" s="495">
        <f>1054272+74613</f>
        <v>1128885</v>
      </c>
      <c r="E40" s="495">
        <f>63500*1.175</f>
        <v>74612.5</v>
      </c>
      <c r="F40" s="495">
        <f t="shared" ref="F40:H40" si="14">63500*1.175</f>
        <v>74612.5</v>
      </c>
      <c r="G40" s="495">
        <f t="shared" si="14"/>
        <v>74612.5</v>
      </c>
      <c r="H40" s="495">
        <f t="shared" si="14"/>
        <v>74612.5</v>
      </c>
      <c r="I40" s="811">
        <f t="shared" si="9"/>
        <v>1427335</v>
      </c>
    </row>
    <row r="41" spans="1:9" s="513" customFormat="1" ht="45" x14ac:dyDescent="0.2">
      <c r="A41" s="798" t="s">
        <v>202</v>
      </c>
      <c r="B41" s="832" t="s">
        <v>258</v>
      </c>
      <c r="C41" s="494" t="s">
        <v>82</v>
      </c>
      <c r="D41" s="495">
        <f>10664745+2657742</f>
        <v>13322487</v>
      </c>
      <c r="E41" s="495">
        <v>2974985</v>
      </c>
      <c r="F41" s="495">
        <v>2974985</v>
      </c>
      <c r="G41" s="495">
        <v>2974985</v>
      </c>
      <c r="H41" s="495">
        <v>2974985</v>
      </c>
      <c r="I41" s="811">
        <f t="shared" si="9"/>
        <v>25222427</v>
      </c>
    </row>
    <row r="42" spans="1:9" s="513" customFormat="1" ht="37.5" customHeight="1" x14ac:dyDescent="0.2">
      <c r="A42" s="798" t="s">
        <v>203</v>
      </c>
      <c r="B42" s="832" t="s">
        <v>279</v>
      </c>
      <c r="C42" s="494" t="s">
        <v>83</v>
      </c>
      <c r="D42" s="495">
        <f>8950092+1097280+1097280</f>
        <v>11144652</v>
      </c>
      <c r="E42" s="495">
        <v>1097280</v>
      </c>
      <c r="F42" s="495">
        <v>1097280</v>
      </c>
      <c r="G42" s="495">
        <v>1097280</v>
      </c>
      <c r="H42" s="808">
        <v>1097280</v>
      </c>
      <c r="I42" s="811">
        <f t="shared" si="9"/>
        <v>15533772</v>
      </c>
    </row>
    <row r="43" spans="1:9" s="513" customFormat="1" ht="33.75" x14ac:dyDescent="0.2">
      <c r="A43" s="798" t="s">
        <v>204</v>
      </c>
      <c r="B43" s="832" t="s">
        <v>259</v>
      </c>
      <c r="C43" s="494" t="s">
        <v>82</v>
      </c>
      <c r="D43" s="495">
        <f>2052000+228000</f>
        <v>2280000</v>
      </c>
      <c r="E43" s="495">
        <v>228000</v>
      </c>
      <c r="F43" s="495">
        <v>228000</v>
      </c>
      <c r="G43" s="495">
        <v>228000</v>
      </c>
      <c r="H43" s="808">
        <v>228000</v>
      </c>
      <c r="I43" s="811">
        <f t="shared" si="9"/>
        <v>3192000</v>
      </c>
    </row>
    <row r="44" spans="1:9" s="513" customFormat="1" ht="22.5" x14ac:dyDescent="0.2">
      <c r="A44" s="799" t="s">
        <v>206</v>
      </c>
      <c r="B44" s="832" t="s">
        <v>345</v>
      </c>
      <c r="C44" s="494" t="s">
        <v>267</v>
      </c>
      <c r="D44" s="495">
        <f>442900+152400</f>
        <v>595300</v>
      </c>
      <c r="E44" s="495">
        <v>152400</v>
      </c>
      <c r="F44" s="495">
        <v>152400</v>
      </c>
      <c r="G44" s="495">
        <v>152400</v>
      </c>
      <c r="H44" s="808">
        <v>152400</v>
      </c>
      <c r="I44" s="811">
        <f t="shared" si="9"/>
        <v>1204900</v>
      </c>
    </row>
    <row r="45" spans="1:9" s="513" customFormat="1" ht="11.25" x14ac:dyDescent="0.2">
      <c r="A45" s="799" t="s">
        <v>208</v>
      </c>
      <c r="B45" s="832" t="s">
        <v>346</v>
      </c>
      <c r="C45" s="494" t="s">
        <v>267</v>
      </c>
      <c r="D45" s="495">
        <f>398450+132750</f>
        <v>531200</v>
      </c>
      <c r="E45" s="495">
        <v>132750</v>
      </c>
      <c r="F45" s="495">
        <v>132750</v>
      </c>
      <c r="G45" s="495">
        <v>132750</v>
      </c>
      <c r="H45" s="808">
        <v>132750</v>
      </c>
      <c r="I45" s="811">
        <f t="shared" si="9"/>
        <v>1062200</v>
      </c>
    </row>
    <row r="46" spans="1:9" s="513" customFormat="1" ht="22.5" x14ac:dyDescent="0.2">
      <c r="A46" s="799" t="s">
        <v>209</v>
      </c>
      <c r="B46" s="832" t="s">
        <v>495</v>
      </c>
      <c r="C46" s="494" t="s">
        <v>343</v>
      </c>
      <c r="D46" s="495">
        <v>200000</v>
      </c>
      <c r="E46" s="495">
        <v>100000</v>
      </c>
      <c r="F46" s="495">
        <v>100000</v>
      </c>
      <c r="G46" s="495">
        <v>100000</v>
      </c>
      <c r="H46" s="495">
        <v>100000</v>
      </c>
      <c r="I46" s="811">
        <f>SUM(D46:H46)</f>
        <v>600000</v>
      </c>
    </row>
    <row r="47" spans="1:9" s="513" customFormat="1" ht="33.75" x14ac:dyDescent="0.2">
      <c r="A47" s="799" t="s">
        <v>389</v>
      </c>
      <c r="B47" s="832" t="s">
        <v>348</v>
      </c>
      <c r="C47" s="494" t="s">
        <v>267</v>
      </c>
      <c r="D47" s="495">
        <f>1278136+274836</f>
        <v>1552972</v>
      </c>
      <c r="E47" s="495">
        <v>274836</v>
      </c>
      <c r="F47" s="495">
        <v>274836</v>
      </c>
      <c r="G47" s="495">
        <v>274836</v>
      </c>
      <c r="H47" s="808">
        <v>274836</v>
      </c>
      <c r="I47" s="811">
        <f t="shared" si="9"/>
        <v>2652316</v>
      </c>
    </row>
    <row r="48" spans="1:9" s="513" customFormat="1" ht="33.75" x14ac:dyDescent="0.2">
      <c r="A48" s="799" t="s">
        <v>496</v>
      </c>
      <c r="B48" s="832" t="s">
        <v>347</v>
      </c>
      <c r="C48" s="494" t="s">
        <v>267</v>
      </c>
      <c r="D48" s="495">
        <f>698123+177423</f>
        <v>875546</v>
      </c>
      <c r="E48" s="495">
        <v>177423</v>
      </c>
      <c r="F48" s="495">
        <v>177423</v>
      </c>
      <c r="G48" s="495">
        <v>177423</v>
      </c>
      <c r="H48" s="808">
        <v>177423</v>
      </c>
      <c r="I48" s="811">
        <f t="shared" si="9"/>
        <v>1585238</v>
      </c>
    </row>
    <row r="49" spans="1:9" s="513" customFormat="1" ht="22.5" x14ac:dyDescent="0.2">
      <c r="A49" s="799" t="s">
        <v>211</v>
      </c>
      <c r="B49" s="832" t="s">
        <v>411</v>
      </c>
      <c r="C49" s="494" t="s">
        <v>272</v>
      </c>
      <c r="D49" s="495">
        <f>665170+164719</f>
        <v>829889</v>
      </c>
      <c r="E49" s="495">
        <v>164719</v>
      </c>
      <c r="F49" s="495">
        <v>164719</v>
      </c>
      <c r="G49" s="495">
        <v>164719</v>
      </c>
      <c r="H49" s="808">
        <v>164719</v>
      </c>
      <c r="I49" s="811">
        <f t="shared" ref="I49:I52" si="15">SUM(D49:H49)</f>
        <v>1488765</v>
      </c>
    </row>
    <row r="50" spans="1:9" s="513" customFormat="1" ht="22.5" x14ac:dyDescent="0.2">
      <c r="A50" s="799" t="s">
        <v>212</v>
      </c>
      <c r="B50" s="854" t="s">
        <v>497</v>
      </c>
      <c r="C50" s="496" t="s">
        <v>343</v>
      </c>
      <c r="D50" s="497">
        <f>72000+144000</f>
        <v>216000</v>
      </c>
      <c r="E50" s="497">
        <v>144000</v>
      </c>
      <c r="F50" s="497">
        <v>144000</v>
      </c>
      <c r="G50" s="497">
        <v>144000</v>
      </c>
      <c r="H50" s="855">
        <v>144000</v>
      </c>
      <c r="I50" s="815">
        <f t="shared" si="15"/>
        <v>792000</v>
      </c>
    </row>
    <row r="51" spans="1:9" s="513" customFormat="1" ht="22.5" x14ac:dyDescent="0.2">
      <c r="A51" s="799" t="s">
        <v>213</v>
      </c>
      <c r="B51" s="854" t="s">
        <v>498</v>
      </c>
      <c r="C51" s="496" t="s">
        <v>343</v>
      </c>
      <c r="D51" s="497">
        <f>72000+144000</f>
        <v>216000</v>
      </c>
      <c r="E51" s="497">
        <v>144000</v>
      </c>
      <c r="F51" s="497">
        <v>144000</v>
      </c>
      <c r="G51" s="497">
        <v>144000</v>
      </c>
      <c r="H51" s="855">
        <v>144000</v>
      </c>
      <c r="I51" s="815">
        <f t="shared" si="15"/>
        <v>792000</v>
      </c>
    </row>
    <row r="52" spans="1:9" s="513" customFormat="1" ht="12" thickBot="1" x14ac:dyDescent="0.25">
      <c r="A52" s="799" t="s">
        <v>476</v>
      </c>
      <c r="B52" s="836" t="s">
        <v>566</v>
      </c>
      <c r="C52" s="818">
        <v>2025</v>
      </c>
      <c r="D52" s="818">
        <v>0</v>
      </c>
      <c r="E52" s="818">
        <v>762000</v>
      </c>
      <c r="F52" s="818">
        <v>762000</v>
      </c>
      <c r="G52" s="818">
        <v>762000</v>
      </c>
      <c r="H52" s="820">
        <v>762000</v>
      </c>
      <c r="I52" s="823">
        <f t="shared" si="15"/>
        <v>3048000</v>
      </c>
    </row>
    <row r="53" spans="1:9" s="513" customFormat="1" x14ac:dyDescent="0.2">
      <c r="A53" s="977" t="s">
        <v>24</v>
      </c>
      <c r="B53" s="978"/>
      <c r="C53" s="829"/>
      <c r="D53" s="830">
        <f>D28+D24+D8</f>
        <v>525901571</v>
      </c>
      <c r="E53" s="830">
        <f t="shared" ref="E53:I53" si="16">E28+E24+E8</f>
        <v>76478038.349999994</v>
      </c>
      <c r="F53" s="830">
        <f t="shared" si="16"/>
        <v>24953283.350000001</v>
      </c>
      <c r="G53" s="830">
        <f t="shared" si="16"/>
        <v>15605483.35</v>
      </c>
      <c r="H53" s="830">
        <f t="shared" si="16"/>
        <v>15347227.35</v>
      </c>
      <c r="I53" s="830">
        <f t="shared" si="16"/>
        <v>658285603.39999998</v>
      </c>
    </row>
    <row r="54" spans="1:9" s="513" customFormat="1" x14ac:dyDescent="0.2">
      <c r="A54"/>
      <c r="B54"/>
      <c r="C54"/>
      <c r="D54"/>
      <c r="E54"/>
      <c r="F54"/>
      <c r="G54"/>
      <c r="H54"/>
      <c r="I54"/>
    </row>
    <row r="55" spans="1:9" s="513" customFormat="1" x14ac:dyDescent="0.2">
      <c r="A55"/>
      <c r="B55"/>
      <c r="C55"/>
      <c r="D55"/>
      <c r="E55"/>
      <c r="F55"/>
      <c r="G55"/>
      <c r="H55"/>
      <c r="I55"/>
    </row>
    <row r="56" spans="1:9" s="513" customFormat="1" x14ac:dyDescent="0.2">
      <c r="A56"/>
      <c r="B56"/>
      <c r="C56"/>
      <c r="D56"/>
      <c r="E56"/>
      <c r="F56"/>
      <c r="G56"/>
      <c r="H56"/>
      <c r="I56"/>
    </row>
    <row r="57" spans="1:9" s="357" customFormat="1" ht="69" customHeight="1" x14ac:dyDescent="0.2">
      <c r="A57"/>
      <c r="B57"/>
      <c r="C57"/>
      <c r="D57"/>
      <c r="E57"/>
      <c r="F57"/>
      <c r="G57"/>
      <c r="H57"/>
      <c r="I57"/>
    </row>
    <row r="58" spans="1:9" s="357" customFormat="1" ht="69" customHeight="1" x14ac:dyDescent="0.2">
      <c r="A58"/>
      <c r="B58"/>
      <c r="C58"/>
      <c r="D58"/>
      <c r="E58"/>
      <c r="F58"/>
      <c r="G58"/>
      <c r="H58"/>
      <c r="I58"/>
    </row>
    <row r="59" spans="1:9" s="357" customFormat="1" ht="69" customHeight="1" x14ac:dyDescent="0.2">
      <c r="A59"/>
      <c r="B59"/>
      <c r="C59"/>
      <c r="D59"/>
      <c r="E59"/>
      <c r="F59"/>
      <c r="G59"/>
      <c r="H59"/>
      <c r="I59"/>
    </row>
    <row r="60" spans="1:9" s="357" customFormat="1" ht="69" customHeight="1" x14ac:dyDescent="0.2">
      <c r="A60"/>
      <c r="B60"/>
      <c r="C60"/>
      <c r="D60"/>
      <c r="E60"/>
      <c r="F60"/>
      <c r="G60"/>
      <c r="H60"/>
      <c r="I60"/>
    </row>
    <row r="61" spans="1:9" s="357" customFormat="1" ht="69" customHeight="1" x14ac:dyDescent="0.2">
      <c r="A61"/>
      <c r="B61"/>
      <c r="C61"/>
      <c r="D61"/>
      <c r="E61"/>
      <c r="F61"/>
      <c r="G61"/>
      <c r="H61"/>
      <c r="I61"/>
    </row>
    <row r="62" spans="1:9" s="357" customFormat="1" ht="69" customHeight="1" x14ac:dyDescent="0.2">
      <c r="A62"/>
      <c r="B62"/>
      <c r="C62"/>
      <c r="D62"/>
      <c r="E62"/>
      <c r="F62"/>
      <c r="G62"/>
      <c r="H62"/>
      <c r="I62"/>
    </row>
    <row r="63" spans="1:9" s="357" customFormat="1" ht="69" customHeight="1" x14ac:dyDescent="0.2">
      <c r="A63"/>
      <c r="B63"/>
      <c r="C63"/>
      <c r="D63"/>
      <c r="E63"/>
      <c r="F63"/>
      <c r="G63"/>
      <c r="H63"/>
      <c r="I63"/>
    </row>
    <row r="64" spans="1:9" s="357" customFormat="1" ht="69" customHeight="1" x14ac:dyDescent="0.2">
      <c r="A64"/>
      <c r="B64"/>
      <c r="C64"/>
      <c r="D64"/>
      <c r="E64"/>
      <c r="F64"/>
      <c r="G64"/>
      <c r="H64"/>
      <c r="I64"/>
    </row>
    <row r="65" spans="1:12" s="357" customFormat="1" ht="69" customHeight="1" x14ac:dyDescent="0.2">
      <c r="A65"/>
      <c r="B65"/>
      <c r="C65"/>
      <c r="D65"/>
      <c r="E65"/>
      <c r="F65"/>
      <c r="G65"/>
      <c r="H65"/>
      <c r="I65"/>
    </row>
    <row r="66" spans="1:12" s="355" customFormat="1" ht="69" customHeight="1" x14ac:dyDescent="0.2">
      <c r="A66"/>
      <c r="B66"/>
      <c r="C66"/>
      <c r="D66"/>
      <c r="E66"/>
      <c r="F66"/>
      <c r="G66"/>
      <c r="H66"/>
      <c r="I66"/>
    </row>
    <row r="70" spans="1:12" x14ac:dyDescent="0.2">
      <c r="B70" s="452"/>
      <c r="C70" s="452"/>
      <c r="D70" s="452"/>
      <c r="E70" s="452"/>
      <c r="F70" s="452"/>
      <c r="G70" s="452"/>
      <c r="H70" s="452"/>
      <c r="I70" s="452"/>
    </row>
    <row r="71" spans="1:12" x14ac:dyDescent="0.2">
      <c r="B71" s="452"/>
      <c r="C71" s="452"/>
      <c r="D71" s="452"/>
      <c r="E71" s="452"/>
      <c r="F71" s="452"/>
      <c r="G71" s="452"/>
      <c r="H71" s="452"/>
      <c r="I71" s="452"/>
    </row>
    <row r="72" spans="1:12" x14ac:dyDescent="0.2">
      <c r="B72" s="452"/>
      <c r="C72" s="452"/>
      <c r="D72" s="452"/>
      <c r="E72" s="452"/>
      <c r="F72" s="452"/>
      <c r="G72" s="452"/>
      <c r="H72" s="452"/>
      <c r="I72" s="452"/>
    </row>
    <row r="74" spans="1:12" x14ac:dyDescent="0.2">
      <c r="J74" s="452"/>
      <c r="K74" s="452"/>
      <c r="L74" s="452"/>
    </row>
    <row r="75" spans="1:12" x14ac:dyDescent="0.2">
      <c r="J75" s="452"/>
      <c r="K75" s="452"/>
      <c r="L75" s="452"/>
    </row>
    <row r="76" spans="1:12" x14ac:dyDescent="0.2">
      <c r="J76" s="452"/>
      <c r="K76" s="452"/>
      <c r="L76" s="452"/>
    </row>
  </sheetData>
  <mergeCells count="8">
    <mergeCell ref="A53:B53"/>
    <mergeCell ref="A1:I1"/>
    <mergeCell ref="A3:A4"/>
    <mergeCell ref="B3:B4"/>
    <mergeCell ref="C3:C4"/>
    <mergeCell ref="D3:D4"/>
    <mergeCell ref="E3:H3"/>
    <mergeCell ref="I3:I4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  <headerFooter>
    <oddHeader>&amp;C21. sz melléklet
.........../2025.(II.13.) Önk. rend
&amp;R6. sz. melléklet
...../2022.(II.15.) Egyek Önk.</oddHeader>
  </headerFooter>
  <rowBreaks count="2" manualBreakCount="2">
    <brk id="17" max="8" man="1"/>
    <brk id="27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"/>
  <sheetViews>
    <sheetView topLeftCell="B32" zoomScaleNormal="100" zoomScaleSheetLayoutView="100" workbookViewId="0">
      <selection activeCell="F38" sqref="F38"/>
    </sheetView>
  </sheetViews>
  <sheetFormatPr defaultRowHeight="12.75" x14ac:dyDescent="0.2"/>
  <cols>
    <col min="1" max="1" width="6.85546875" customWidth="1"/>
    <col min="2" max="2" width="8.7109375" customWidth="1"/>
    <col min="3" max="3" width="56.5703125" customWidth="1"/>
    <col min="4" max="4" width="16.42578125" style="306" customWidth="1"/>
    <col min="5" max="5" width="17.42578125" style="307" customWidth="1"/>
    <col min="6" max="6" width="18.140625" customWidth="1"/>
    <col min="7" max="7" width="16.28515625" customWidth="1"/>
    <col min="8" max="8" width="19" style="452" bestFit="1" customWidth="1"/>
    <col min="9" max="9" width="22.140625" customWidth="1"/>
  </cols>
  <sheetData>
    <row r="1" spans="2:8" ht="15.75" x14ac:dyDescent="0.25">
      <c r="B1" s="954" t="s">
        <v>528</v>
      </c>
      <c r="C1" s="992"/>
      <c r="D1" s="992"/>
      <c r="E1" s="992"/>
      <c r="F1" s="992"/>
      <c r="G1" s="992"/>
    </row>
    <row r="2" spans="2:8" ht="15.75" x14ac:dyDescent="0.25">
      <c r="B2" s="852"/>
      <c r="C2" s="853"/>
      <c r="D2" s="853"/>
      <c r="E2" s="853"/>
      <c r="F2" s="853"/>
      <c r="G2" s="853"/>
    </row>
    <row r="3" spans="2:8" ht="16.5" thickBot="1" x14ac:dyDescent="0.25">
      <c r="B3" s="43" t="s">
        <v>42</v>
      </c>
      <c r="C3" s="43"/>
      <c r="D3" s="295"/>
      <c r="E3" s="296"/>
      <c r="F3" s="199" t="s">
        <v>305</v>
      </c>
    </row>
    <row r="4" spans="2:8" ht="26.25" thickBot="1" x14ac:dyDescent="0.25">
      <c r="B4" s="46" t="s">
        <v>43</v>
      </c>
      <c r="C4" s="47" t="s">
        <v>44</v>
      </c>
      <c r="D4" s="888" t="s">
        <v>529</v>
      </c>
      <c r="E4" s="664" t="s">
        <v>530</v>
      </c>
      <c r="F4" s="48" t="s">
        <v>531</v>
      </c>
      <c r="G4" s="87"/>
    </row>
    <row r="5" spans="2:8" ht="13.5" customHeight="1" thickBot="1" x14ac:dyDescent="0.25">
      <c r="B5" s="46">
        <v>1</v>
      </c>
      <c r="C5" s="47">
        <v>2</v>
      </c>
      <c r="D5" s="166">
        <v>3</v>
      </c>
      <c r="E5" s="78">
        <v>4</v>
      </c>
      <c r="F5" s="48">
        <v>5</v>
      </c>
    </row>
    <row r="6" spans="2:8" ht="26.25" thickBot="1" x14ac:dyDescent="0.25">
      <c r="B6" s="49" t="s">
        <v>2</v>
      </c>
      <c r="C6" s="180" t="s">
        <v>118</v>
      </c>
      <c r="D6" s="79">
        <f>D7+D14</f>
        <v>796878623</v>
      </c>
      <c r="E6" s="79">
        <f>E7+E14</f>
        <v>845812590</v>
      </c>
      <c r="F6" s="79">
        <f>F7+F13+F14</f>
        <v>754467396</v>
      </c>
    </row>
    <row r="7" spans="2:8" s="83" customFormat="1" ht="13.5" thickBot="1" x14ac:dyDescent="0.25">
      <c r="B7" s="49" t="s">
        <v>6</v>
      </c>
      <c r="C7" s="274" t="s">
        <v>123</v>
      </c>
      <c r="D7" s="328">
        <f t="shared" ref="D7:E7" si="0">SUM(D8:D12)</f>
        <v>310125711</v>
      </c>
      <c r="E7" s="328">
        <f t="shared" si="0"/>
        <v>332965331</v>
      </c>
      <c r="F7" s="328">
        <f>SUM(F8:F12)</f>
        <v>330516030</v>
      </c>
      <c r="H7" s="198"/>
    </row>
    <row r="8" spans="2:8" ht="13.5" thickBot="1" x14ac:dyDescent="0.25">
      <c r="B8" s="49" t="s">
        <v>10</v>
      </c>
      <c r="C8" s="51" t="s">
        <v>215</v>
      </c>
      <c r="D8" s="325">
        <v>218069270</v>
      </c>
      <c r="E8" s="329">
        <f>'Bevétel 2.melléklet'!H9</f>
        <v>237949405</v>
      </c>
      <c r="F8" s="329">
        <f>'Bevétel 2.melléklet'!I9</f>
        <v>231769223</v>
      </c>
    </row>
    <row r="9" spans="2:8" ht="26.25" thickBot="1" x14ac:dyDescent="0.25">
      <c r="B9" s="49" t="s">
        <v>4</v>
      </c>
      <c r="C9" s="50" t="s">
        <v>216</v>
      </c>
      <c r="D9" s="326">
        <v>77769567</v>
      </c>
      <c r="E9" s="329">
        <f>'Bevétel 2.melléklet'!H10</f>
        <v>74692548</v>
      </c>
      <c r="F9" s="329">
        <f>'Bevétel 2.melléklet'!I10</f>
        <v>75628235</v>
      </c>
    </row>
    <row r="10" spans="2:8" ht="13.5" thickBot="1" x14ac:dyDescent="0.25">
      <c r="B10" s="49" t="s">
        <v>7</v>
      </c>
      <c r="C10" s="50" t="s">
        <v>217</v>
      </c>
      <c r="D10" s="326">
        <v>13197448</v>
      </c>
      <c r="E10" s="329">
        <f>'Bevétel 2.melléklet'!H11</f>
        <v>13219578</v>
      </c>
      <c r="F10" s="329">
        <f>'Bevétel 2.melléklet'!I11</f>
        <v>11697918</v>
      </c>
    </row>
    <row r="11" spans="2:8" ht="13.5" thickBot="1" x14ac:dyDescent="0.25">
      <c r="B11" s="49" t="s">
        <v>11</v>
      </c>
      <c r="C11" s="50" t="s">
        <v>218</v>
      </c>
      <c r="D11" s="326">
        <v>0</v>
      </c>
      <c r="E11" s="329">
        <f>'Bevétel 2.melléklet'!H12</f>
        <v>7103800</v>
      </c>
      <c r="F11" s="329">
        <f>'Bevétel 2.melléklet'!I12</f>
        <v>0</v>
      </c>
    </row>
    <row r="12" spans="2:8" ht="13.5" thickBot="1" x14ac:dyDescent="0.25">
      <c r="B12" s="49" t="s">
        <v>5</v>
      </c>
      <c r="C12" s="50" t="s">
        <v>234</v>
      </c>
      <c r="D12" s="326">
        <v>1089426</v>
      </c>
      <c r="E12" s="329">
        <f>'Bevétel 2.melléklet'!H13</f>
        <v>0</v>
      </c>
      <c r="F12" s="329">
        <f>'Bevétel 2.melléklet'!I13</f>
        <v>11420654</v>
      </c>
    </row>
    <row r="13" spans="2:8" ht="26.25" thickBot="1" x14ac:dyDescent="0.25">
      <c r="B13" s="49" t="s">
        <v>12</v>
      </c>
      <c r="C13" s="358" t="s">
        <v>293</v>
      </c>
      <c r="D13" s="359">
        <v>0</v>
      </c>
      <c r="E13" s="359">
        <v>0</v>
      </c>
      <c r="F13" s="360"/>
    </row>
    <row r="14" spans="2:8" s="83" customFormat="1" ht="26.25" thickBot="1" x14ac:dyDescent="0.25">
      <c r="B14" s="49" t="s">
        <v>8</v>
      </c>
      <c r="C14" s="275" t="s">
        <v>219</v>
      </c>
      <c r="D14" s="327">
        <v>486752912</v>
      </c>
      <c r="E14" s="360">
        <f>'Bevétel 2.melléklet'!H16</f>
        <v>512847259</v>
      </c>
      <c r="F14" s="360">
        <f>'Bevétel 2.melléklet'!I16</f>
        <v>423951366</v>
      </c>
      <c r="H14" s="198"/>
    </row>
    <row r="15" spans="2:8" s="83" customFormat="1" ht="13.5" thickBot="1" x14ac:dyDescent="0.25">
      <c r="B15" s="49" t="s">
        <v>3</v>
      </c>
      <c r="C15" s="275" t="s">
        <v>263</v>
      </c>
      <c r="D15" s="327"/>
      <c r="E15" s="327"/>
      <c r="F15" s="330"/>
      <c r="H15" s="198"/>
    </row>
    <row r="16" spans="2:8" s="83" customFormat="1" ht="13.5" thickBot="1" x14ac:dyDescent="0.25">
      <c r="B16" s="49" t="s">
        <v>9</v>
      </c>
      <c r="C16" s="275" t="s">
        <v>294</v>
      </c>
      <c r="D16" s="327"/>
      <c r="E16" s="327"/>
      <c r="F16" s="330"/>
      <c r="H16" s="198"/>
    </row>
    <row r="17" spans="2:8" ht="26.25" thickBot="1" x14ac:dyDescent="0.25">
      <c r="B17" s="884" t="s">
        <v>25</v>
      </c>
      <c r="C17" s="334" t="s">
        <v>124</v>
      </c>
      <c r="D17" s="333">
        <f t="shared" ref="D17:E17" si="1">SUM(D18:D20)</f>
        <v>55729738</v>
      </c>
      <c r="E17" s="333">
        <f t="shared" si="1"/>
        <v>123473215</v>
      </c>
      <c r="F17" s="333">
        <f>SUM(F18:F20)</f>
        <v>200883155</v>
      </c>
    </row>
    <row r="18" spans="2:8" ht="13.5" thickBot="1" x14ac:dyDescent="0.25">
      <c r="B18" s="279" t="s">
        <v>15</v>
      </c>
      <c r="C18" s="332" t="s">
        <v>220</v>
      </c>
      <c r="D18" s="882">
        <v>17740</v>
      </c>
      <c r="E18" s="883">
        <f>'Bevétel 2.melléklet'!H18</f>
        <v>0</v>
      </c>
      <c r="F18" s="883">
        <f>'Bevétel 2.melléklet'!I18</f>
        <v>0</v>
      </c>
    </row>
    <row r="19" spans="2:8" ht="26.25" thickBot="1" x14ac:dyDescent="0.25">
      <c r="B19" s="49" t="s">
        <v>61</v>
      </c>
      <c r="C19" s="332" t="s">
        <v>567</v>
      </c>
      <c r="D19" s="505"/>
      <c r="E19" s="883">
        <f>'Bevétel 2.melléklet'!H19</f>
        <v>94489</v>
      </c>
      <c r="F19" s="883">
        <f>'Bevétel 2.melléklet'!I19</f>
        <v>0</v>
      </c>
    </row>
    <row r="20" spans="2:8" ht="26.25" thickBot="1" x14ac:dyDescent="0.25">
      <c r="B20" s="49" t="s">
        <v>64</v>
      </c>
      <c r="C20" s="885" t="s">
        <v>221</v>
      </c>
      <c r="D20" s="886">
        <v>55711998</v>
      </c>
      <c r="E20" s="887">
        <f>'Bevétel 2.melléklet'!H20</f>
        <v>123378726</v>
      </c>
      <c r="F20" s="887">
        <f>'Bevétel 2.melléklet'!I20</f>
        <v>200883155</v>
      </c>
    </row>
    <row r="21" spans="2:8" ht="13.5" thickBot="1" x14ac:dyDescent="0.25">
      <c r="B21" s="884" t="s">
        <v>62</v>
      </c>
      <c r="C21" s="85" t="s">
        <v>137</v>
      </c>
      <c r="D21" s="86">
        <f>D23+D24+D27+D28+D22</f>
        <v>98490235</v>
      </c>
      <c r="E21" s="86">
        <f>E23+E24+E27+E28+E22</f>
        <v>135920173</v>
      </c>
      <c r="F21" s="86">
        <f>F23+F24+F27+F28+F22</f>
        <v>135921000</v>
      </c>
    </row>
    <row r="22" spans="2:8" ht="13.5" thickBot="1" x14ac:dyDescent="0.25">
      <c r="B22" s="49"/>
      <c r="C22" s="466" t="s">
        <v>313</v>
      </c>
      <c r="D22" s="665">
        <v>0</v>
      </c>
      <c r="E22" s="665">
        <v>0</v>
      </c>
      <c r="F22" s="666"/>
    </row>
    <row r="23" spans="2:8" ht="13.5" thickBot="1" x14ac:dyDescent="0.25">
      <c r="B23" s="49" t="s">
        <v>66</v>
      </c>
      <c r="C23" s="500" t="s">
        <v>112</v>
      </c>
      <c r="D23" s="501">
        <v>17717565</v>
      </c>
      <c r="E23" s="666">
        <f>'Bevétel 2.melléklet'!B23</f>
        <v>17239331</v>
      </c>
      <c r="F23" s="666">
        <f>'Bevétel 2.melléklet'!C23</f>
        <v>17240000</v>
      </c>
    </row>
    <row r="24" spans="2:8" s="83" customFormat="1" ht="13.5" thickBot="1" x14ac:dyDescent="0.25">
      <c r="B24" s="499" t="s">
        <v>67</v>
      </c>
      <c r="C24" s="506" t="s">
        <v>222</v>
      </c>
      <c r="D24" s="507">
        <f t="shared" ref="D24:E24" si="2">SUM(D25:D26)</f>
        <v>71273552</v>
      </c>
      <c r="E24" s="507">
        <f t="shared" si="2"/>
        <v>110161256</v>
      </c>
      <c r="F24" s="507">
        <f>SUM(F25:F26)</f>
        <v>110161000</v>
      </c>
      <c r="H24" s="198"/>
    </row>
    <row r="25" spans="2:8" ht="13.5" thickBot="1" x14ac:dyDescent="0.25">
      <c r="B25" s="499" t="s">
        <v>68</v>
      </c>
      <c r="C25" s="100" t="s">
        <v>223</v>
      </c>
      <c r="D25" s="505">
        <v>71273552</v>
      </c>
      <c r="E25" s="508">
        <f>'Bevétel 2.melléklet'!B25</f>
        <v>110161256</v>
      </c>
      <c r="F25" s="508">
        <f>'Bevétel 2.melléklet'!C25</f>
        <v>110161000</v>
      </c>
    </row>
    <row r="26" spans="2:8" ht="13.5" thickBot="1" x14ac:dyDescent="0.25">
      <c r="B26" s="499" t="s">
        <v>14</v>
      </c>
      <c r="C26" s="100" t="s">
        <v>224</v>
      </c>
      <c r="D26" s="505"/>
      <c r="E26" s="505"/>
      <c r="F26" s="508"/>
    </row>
    <row r="27" spans="2:8" ht="13.5" thickBot="1" x14ac:dyDescent="0.25">
      <c r="B27" s="499" t="s">
        <v>69</v>
      </c>
      <c r="C27" s="100" t="s">
        <v>225</v>
      </c>
      <c r="D27" s="509">
        <v>9499118</v>
      </c>
      <c r="E27" s="509">
        <f>'Bevétel 2.melléklet'!B27</f>
        <v>8519586</v>
      </c>
      <c r="F27" s="509">
        <f>'Bevétel 2.melléklet'!C27</f>
        <v>8520000</v>
      </c>
    </row>
    <row r="28" spans="2:8" ht="13.5" thickBot="1" x14ac:dyDescent="0.25">
      <c r="B28" s="499" t="s">
        <v>70</v>
      </c>
      <c r="C28" s="100" t="s">
        <v>310</v>
      </c>
      <c r="D28" s="505"/>
      <c r="E28" s="505"/>
      <c r="F28" s="508"/>
    </row>
    <row r="29" spans="2:8" ht="13.5" thickBot="1" x14ac:dyDescent="0.25">
      <c r="B29" s="499" t="s">
        <v>71</v>
      </c>
      <c r="C29" s="510" t="s">
        <v>264</v>
      </c>
      <c r="D29" s="511"/>
      <c r="E29" s="511"/>
      <c r="F29" s="512"/>
    </row>
    <row r="30" spans="2:8" ht="13.5" thickBot="1" x14ac:dyDescent="0.25">
      <c r="B30" s="499" t="s">
        <v>85</v>
      </c>
      <c r="C30" s="502" t="s">
        <v>226</v>
      </c>
      <c r="D30" s="503">
        <v>113183514</v>
      </c>
      <c r="E30" s="504">
        <f>'Bevétel 2.melléklet'!H28</f>
        <v>151509180</v>
      </c>
      <c r="F30" s="504">
        <f>'Bevétel 2.melléklet'!I28</f>
        <v>143812000</v>
      </c>
    </row>
    <row r="31" spans="2:8" s="69" customFormat="1" ht="13.5" thickBot="1" x14ac:dyDescent="0.25">
      <c r="B31" s="499" t="s">
        <v>86</v>
      </c>
      <c r="C31" s="276" t="s">
        <v>138</v>
      </c>
      <c r="D31" s="277">
        <v>63451048</v>
      </c>
      <c r="E31" s="504">
        <f>'Bevétel 2.melléklet'!H29</f>
        <v>6341510</v>
      </c>
      <c r="F31" s="504">
        <f>'Bevétel 2.melléklet'!I29</f>
        <v>1539000</v>
      </c>
      <c r="H31" s="531"/>
    </row>
    <row r="32" spans="2:8" s="69" customFormat="1" ht="13.5" thickBot="1" x14ac:dyDescent="0.25">
      <c r="B32" s="499" t="s">
        <v>87</v>
      </c>
      <c r="C32" s="278" t="s">
        <v>135</v>
      </c>
      <c r="D32" s="268">
        <v>4464376</v>
      </c>
      <c r="E32" s="504">
        <f>'Bevétel 2.melléklet'!H30</f>
        <v>1982105</v>
      </c>
      <c r="F32" s="504">
        <f>'Bevétel 2.melléklet'!I30</f>
        <v>21755816</v>
      </c>
      <c r="H32" s="531"/>
    </row>
    <row r="33" spans="2:8" s="69" customFormat="1" ht="13.5" thickBot="1" x14ac:dyDescent="0.25">
      <c r="B33" s="499" t="s">
        <v>245</v>
      </c>
      <c r="C33" s="279" t="s">
        <v>126</v>
      </c>
      <c r="D33" s="280"/>
      <c r="E33" s="280"/>
      <c r="F33" s="504"/>
      <c r="H33" s="531"/>
    </row>
    <row r="34" spans="2:8" s="209" customFormat="1" ht="26.25" thickBot="1" x14ac:dyDescent="0.25">
      <c r="B34" s="499" t="s">
        <v>246</v>
      </c>
      <c r="C34" s="270" t="s">
        <v>287</v>
      </c>
      <c r="D34" s="271"/>
      <c r="E34" s="331">
        <v>0</v>
      </c>
      <c r="F34" s="331">
        <v>0</v>
      </c>
      <c r="H34" s="452"/>
    </row>
    <row r="35" spans="2:8" s="209" customFormat="1" ht="13.5" thickBot="1" x14ac:dyDescent="0.25">
      <c r="B35" s="499" t="s">
        <v>247</v>
      </c>
      <c r="C35" s="272" t="s">
        <v>288</v>
      </c>
      <c r="D35" s="273">
        <v>0</v>
      </c>
      <c r="E35" s="273">
        <v>0</v>
      </c>
      <c r="F35" s="273">
        <v>0</v>
      </c>
      <c r="H35" s="452"/>
    </row>
    <row r="36" spans="2:8" ht="13.5" thickBot="1" x14ac:dyDescent="0.25">
      <c r="B36" s="908" t="s">
        <v>110</v>
      </c>
      <c r="C36" s="909"/>
      <c r="D36" s="281">
        <f>D6+D17+D21+D30+D31+D32+D33</f>
        <v>1132197534</v>
      </c>
      <c r="E36" s="281">
        <f>E6+E17+E21+E30+E31+E32+E33</f>
        <v>1265038773</v>
      </c>
      <c r="F36" s="281">
        <f>F6+F17+F21+F30+F31+F32+F33</f>
        <v>1258378367</v>
      </c>
    </row>
    <row r="37" spans="2:8" ht="13.5" thickBot="1" x14ac:dyDescent="0.25">
      <c r="B37" s="53" t="s">
        <v>248</v>
      </c>
      <c r="C37" s="53" t="s">
        <v>133</v>
      </c>
      <c r="D37" s="163">
        <f>SUM(D38:D40)</f>
        <v>239025207</v>
      </c>
      <c r="E37" s="163">
        <f>E38+E39+E40+E41</f>
        <v>364336081</v>
      </c>
      <c r="F37" s="163">
        <f>F38+F39+F40+F41</f>
        <v>432536438</v>
      </c>
    </row>
    <row r="38" spans="2:8" ht="13.5" thickBot="1" x14ac:dyDescent="0.25">
      <c r="B38" s="53" t="s">
        <v>249</v>
      </c>
      <c r="C38" s="164" t="s">
        <v>227</v>
      </c>
      <c r="D38" s="165">
        <v>116928070</v>
      </c>
      <c r="E38" s="273">
        <f>'Bevétel 2.melléklet'!H38</f>
        <v>0</v>
      </c>
      <c r="F38" s="273">
        <f>'Bevétel 2.melléklet'!I38</f>
        <v>0</v>
      </c>
    </row>
    <row r="39" spans="2:8" ht="24.75" customHeight="1" thickBot="1" x14ac:dyDescent="0.25">
      <c r="B39" s="53" t="s">
        <v>250</v>
      </c>
      <c r="C39" s="164" t="s">
        <v>129</v>
      </c>
      <c r="D39" s="165">
        <v>109805645</v>
      </c>
      <c r="E39" s="331">
        <f>'Bevétel 2.melléklet'!H41</f>
        <v>152240193</v>
      </c>
      <c r="F39" s="331">
        <f>'Bevétel 2.melléklet'!I41</f>
        <v>175046133</v>
      </c>
    </row>
    <row r="40" spans="2:8" ht="13.5" thickBot="1" x14ac:dyDescent="0.25">
      <c r="B40" s="53" t="s">
        <v>251</v>
      </c>
      <c r="C40" s="164" t="s">
        <v>266</v>
      </c>
      <c r="D40" s="165">
        <v>12291492</v>
      </c>
      <c r="E40" s="331">
        <f>'Bevétel 2.melléklet'!H45</f>
        <v>14097937</v>
      </c>
      <c r="F40" s="331">
        <f>'Bevétel 2.melléklet'!I45</f>
        <v>12274215</v>
      </c>
      <c r="H40" s="156"/>
    </row>
    <row r="41" spans="2:8" ht="13.5" thickBot="1" x14ac:dyDescent="0.25">
      <c r="B41" s="53" t="s">
        <v>252</v>
      </c>
      <c r="C41" s="164" t="s">
        <v>499</v>
      </c>
      <c r="D41" s="297"/>
      <c r="E41" s="165">
        <f>'Bevétel 2.melléklet'!H46</f>
        <v>197997951</v>
      </c>
      <c r="F41" s="165">
        <f>'Bevétel 2.melléklet'!I46</f>
        <v>245216090</v>
      </c>
    </row>
    <row r="42" spans="2:8" x14ac:dyDescent="0.2">
      <c r="B42" s="89"/>
      <c r="C42" s="88"/>
      <c r="D42" s="298"/>
      <c r="E42" s="298"/>
    </row>
    <row r="43" spans="2:8" ht="12.75" customHeight="1" x14ac:dyDescent="0.2">
      <c r="B43" s="993" t="s">
        <v>47</v>
      </c>
      <c r="C43" s="993"/>
      <c r="D43" s="993"/>
      <c r="E43" s="993"/>
    </row>
    <row r="44" spans="2:8" ht="13.5" customHeight="1" thickBot="1" x14ac:dyDescent="0.25">
      <c r="B44" s="54"/>
      <c r="C44" s="54"/>
      <c r="D44" s="299"/>
      <c r="E44" s="300"/>
    </row>
    <row r="45" spans="2:8" ht="26.25" thickBot="1" x14ac:dyDescent="0.25">
      <c r="B45" s="46" t="s">
        <v>48</v>
      </c>
      <c r="C45" s="47" t="s">
        <v>49</v>
      </c>
      <c r="D45" s="888" t="s">
        <v>529</v>
      </c>
      <c r="E45" s="664" t="s">
        <v>530</v>
      </c>
      <c r="F45" s="48" t="s">
        <v>531</v>
      </c>
    </row>
    <row r="46" spans="2:8" ht="13.5" thickBot="1" x14ac:dyDescent="0.25">
      <c r="B46" s="46">
        <v>1</v>
      </c>
      <c r="C46" s="47">
        <v>2</v>
      </c>
      <c r="D46" s="166">
        <v>3</v>
      </c>
      <c r="E46" s="78">
        <v>4</v>
      </c>
      <c r="F46" s="48">
        <v>5</v>
      </c>
    </row>
    <row r="47" spans="2:8" ht="13.5" thickBot="1" x14ac:dyDescent="0.25">
      <c r="B47" s="49" t="s">
        <v>2</v>
      </c>
      <c r="C47" s="55" t="s">
        <v>228</v>
      </c>
      <c r="D47" s="79">
        <f>D48+D49</f>
        <v>565996558</v>
      </c>
      <c r="E47" s="79">
        <f>E48+E49</f>
        <v>603227355</v>
      </c>
      <c r="F47" s="79">
        <f>F48+F49</f>
        <v>650396391</v>
      </c>
      <c r="G47" s="68"/>
      <c r="H47" s="484"/>
    </row>
    <row r="48" spans="2:8" ht="13.5" thickBot="1" x14ac:dyDescent="0.25">
      <c r="B48" s="49" t="s">
        <v>6</v>
      </c>
      <c r="C48" s="52" t="s">
        <v>195</v>
      </c>
      <c r="D48" s="81">
        <v>529861114</v>
      </c>
      <c r="E48" s="81">
        <f>404315927+135982020+5095336</f>
        <v>545393283</v>
      </c>
      <c r="F48" s="288">
        <f>'Működési kiadások 19.'!F8</f>
        <v>568651254</v>
      </c>
      <c r="G48" s="68"/>
      <c r="H48" s="484"/>
    </row>
    <row r="49" spans="1:8" ht="13.5" thickBot="1" x14ac:dyDescent="0.25">
      <c r="B49" s="49" t="s">
        <v>10</v>
      </c>
      <c r="C49" s="56" t="s">
        <v>196</v>
      </c>
      <c r="D49" s="301">
        <v>36135444</v>
      </c>
      <c r="E49" s="301">
        <f>41301919+12265084+4267069</f>
        <v>57834072</v>
      </c>
      <c r="F49" s="289">
        <f>'Működési kiadások 19.'!F10</f>
        <v>81745137</v>
      </c>
      <c r="G49" s="68"/>
      <c r="H49" s="484"/>
    </row>
    <row r="50" spans="1:8" s="69" customFormat="1" ht="26.25" thickBot="1" x14ac:dyDescent="0.25">
      <c r="B50" s="49" t="s">
        <v>4</v>
      </c>
      <c r="C50" s="282" t="s">
        <v>173</v>
      </c>
      <c r="D50" s="78">
        <v>51166056</v>
      </c>
      <c r="E50" s="78">
        <f>'Kiadások 11. m.'!H10</f>
        <v>55094551</v>
      </c>
      <c r="F50" s="290">
        <f>'Működési kiadások 19.'!F12</f>
        <v>64228508</v>
      </c>
      <c r="G50" s="481"/>
      <c r="H50" s="874"/>
    </row>
    <row r="51" spans="1:8" s="69" customFormat="1" ht="13.5" thickBot="1" x14ac:dyDescent="0.25">
      <c r="B51" s="49" t="s">
        <v>7</v>
      </c>
      <c r="C51" s="283" t="s">
        <v>157</v>
      </c>
      <c r="D51" s="302">
        <v>278300917</v>
      </c>
      <c r="E51" s="78">
        <f>'Kiadások 11. m.'!H11</f>
        <v>253626304</v>
      </c>
      <c r="F51" s="290">
        <f>'Működési kiadások 19.'!F13</f>
        <v>300964113</v>
      </c>
      <c r="G51" s="481"/>
      <c r="H51" s="874"/>
    </row>
    <row r="52" spans="1:8" s="69" customFormat="1" ht="13.5" thickBot="1" x14ac:dyDescent="0.25">
      <c r="B52" s="49" t="s">
        <v>11</v>
      </c>
      <c r="C52" s="283" t="s">
        <v>229</v>
      </c>
      <c r="D52" s="78">
        <v>16320399</v>
      </c>
      <c r="E52" s="78">
        <f>'Kiadások 11. m.'!H12</f>
        <v>19931566</v>
      </c>
      <c r="F52" s="290">
        <f>'Működési kiadások 19.'!F14</f>
        <v>19763000</v>
      </c>
      <c r="G52" s="481"/>
      <c r="H52" s="482"/>
    </row>
    <row r="53" spans="1:8" s="69" customFormat="1" ht="13.5" thickBot="1" x14ac:dyDescent="0.25">
      <c r="B53" s="49" t="s">
        <v>5</v>
      </c>
      <c r="C53" s="284" t="s">
        <v>233</v>
      </c>
      <c r="D53" s="303">
        <v>92852540</v>
      </c>
      <c r="E53" s="78">
        <f>'Kiadások 11. m.'!H13</f>
        <v>93412849</v>
      </c>
      <c r="F53" s="290">
        <f>'Működési kiadások 19.'!F15-F54</f>
        <v>70426000</v>
      </c>
      <c r="G53" s="481"/>
      <c r="H53" s="482"/>
    </row>
    <row r="54" spans="1:8" s="209" customFormat="1" ht="13.5" thickBot="1" x14ac:dyDescent="0.25">
      <c r="A54" s="84"/>
      <c r="B54" s="49" t="s">
        <v>12</v>
      </c>
      <c r="C54" s="479" t="s">
        <v>314</v>
      </c>
      <c r="D54" s="480">
        <f>SUM(D55:D56)</f>
        <v>0</v>
      </c>
      <c r="E54" s="480">
        <f t="shared" ref="E54" si="3">SUM(E55:E56)</f>
        <v>0</v>
      </c>
      <c r="F54" s="480">
        <f>SUM(F55:F56)</f>
        <v>38755816</v>
      </c>
      <c r="G54" s="483"/>
      <c r="H54" s="482"/>
    </row>
    <row r="55" spans="1:8" ht="13.5" thickBot="1" x14ac:dyDescent="0.25">
      <c r="B55" s="49" t="s">
        <v>8</v>
      </c>
      <c r="C55" s="286" t="s">
        <v>315</v>
      </c>
      <c r="D55" s="304"/>
      <c r="E55" s="304"/>
      <c r="F55" s="291">
        <f>'Működési kiadások 19.'!F28</f>
        <v>38755816</v>
      </c>
      <c r="G55" s="68"/>
      <c r="H55" s="482"/>
    </row>
    <row r="56" spans="1:8" ht="13.5" thickBot="1" x14ac:dyDescent="0.25">
      <c r="B56" s="49" t="s">
        <v>3</v>
      </c>
      <c r="C56" s="287" t="s">
        <v>295</v>
      </c>
      <c r="D56" s="101"/>
      <c r="E56" s="101"/>
      <c r="F56" s="292"/>
      <c r="G56" s="68"/>
      <c r="H56" s="482"/>
    </row>
    <row r="57" spans="1:8" s="69" customFormat="1" ht="13.5" thickBot="1" x14ac:dyDescent="0.25">
      <c r="B57" s="49" t="s">
        <v>9</v>
      </c>
      <c r="C57" s="285" t="s">
        <v>230</v>
      </c>
      <c r="D57" s="269">
        <v>52392100</v>
      </c>
      <c r="E57" s="269">
        <f>'Kiadások 11. m.'!H20</f>
        <v>80540788</v>
      </c>
      <c r="F57" s="293">
        <f>'Felhalmozás 20.'!D35</f>
        <v>336587519</v>
      </c>
      <c r="G57" s="481"/>
      <c r="H57" s="482"/>
    </row>
    <row r="58" spans="1:8" s="69" customFormat="1" ht="13.5" thickBot="1" x14ac:dyDescent="0.25">
      <c r="B58" s="49" t="s">
        <v>25</v>
      </c>
      <c r="C58" s="283" t="s">
        <v>231</v>
      </c>
      <c r="D58" s="78">
        <v>130574987</v>
      </c>
      <c r="E58" s="269">
        <f>'Kiadások 11. m.'!H21</f>
        <v>4429342</v>
      </c>
      <c r="F58" s="293">
        <f>'Felhalmozás 20.'!D8</f>
        <v>2000000</v>
      </c>
      <c r="G58" s="481"/>
      <c r="H58" s="482"/>
    </row>
    <row r="59" spans="1:8" s="69" customFormat="1" ht="13.5" thickBot="1" x14ac:dyDescent="0.25">
      <c r="B59" s="49" t="s">
        <v>15</v>
      </c>
      <c r="C59" s="283" t="s">
        <v>161</v>
      </c>
      <c r="D59" s="78">
        <v>17740</v>
      </c>
      <c r="E59" s="269">
        <f>'Kiadások 11. m.'!H22</f>
        <v>16724363</v>
      </c>
      <c r="F59" s="293">
        <f>'Kiadások 11. m.'!I22</f>
        <v>0</v>
      </c>
      <c r="G59" s="481"/>
      <c r="H59" s="482"/>
    </row>
    <row r="60" spans="1:8" ht="13.5" thickBot="1" x14ac:dyDescent="0.25">
      <c r="B60" s="49" t="s">
        <v>61</v>
      </c>
      <c r="C60" s="57" t="s">
        <v>169</v>
      </c>
      <c r="D60" s="77">
        <f>D61+D64</f>
        <v>31361251</v>
      </c>
      <c r="E60" s="77">
        <f>E61+E64</f>
        <v>334141454</v>
      </c>
      <c r="F60" s="77">
        <f>F61+F64+F63</f>
        <v>309593668</v>
      </c>
      <c r="G60" s="68"/>
      <c r="H60" s="482"/>
    </row>
    <row r="61" spans="1:8" ht="13.5" thickBot="1" x14ac:dyDescent="0.25">
      <c r="B61" s="49" t="s">
        <v>62</v>
      </c>
      <c r="C61" s="51" t="s">
        <v>164</v>
      </c>
      <c r="D61" s="305">
        <v>11806986</v>
      </c>
      <c r="E61" s="305">
        <f>'Kiadások 11. m.'!H15</f>
        <v>212113165</v>
      </c>
      <c r="F61" s="190">
        <f>SUM(F62)</f>
        <v>12274215</v>
      </c>
      <c r="G61" s="68"/>
      <c r="H61" s="482"/>
    </row>
    <row r="62" spans="1:8" ht="13.5" thickBot="1" x14ac:dyDescent="0.25">
      <c r="B62" s="49"/>
      <c r="C62" s="592" t="s">
        <v>317</v>
      </c>
      <c r="D62" s="305">
        <v>11806986</v>
      </c>
      <c r="E62" s="305">
        <f>'Kiadások 11. m.'!H16</f>
        <v>14115214</v>
      </c>
      <c r="F62" s="190">
        <f>'Működési kiadások 19.'!F31</f>
        <v>12274215</v>
      </c>
      <c r="G62" s="68"/>
      <c r="H62" s="482"/>
    </row>
    <row r="63" spans="1:8" ht="13.5" thickBot="1" x14ac:dyDescent="0.25">
      <c r="B63" s="49"/>
      <c r="C63" s="592" t="s">
        <v>352</v>
      </c>
      <c r="D63" s="305">
        <v>177985115</v>
      </c>
      <c r="E63" s="305">
        <f>'Kiadások 11. m.'!H17</f>
        <v>197997951</v>
      </c>
      <c r="F63" s="305">
        <f>'Kiadások 11. m.'!I17</f>
        <v>245216090</v>
      </c>
      <c r="G63" s="68"/>
      <c r="H63" s="484"/>
    </row>
    <row r="64" spans="1:8" ht="13.5" thickBot="1" x14ac:dyDescent="0.25">
      <c r="B64" s="49" t="s">
        <v>63</v>
      </c>
      <c r="C64" s="50" t="s">
        <v>165</v>
      </c>
      <c r="D64" s="80">
        <v>19554265</v>
      </c>
      <c r="E64" s="80">
        <f>'Kiadások 11. m.'!H23</f>
        <v>122028289</v>
      </c>
      <c r="F64" s="291">
        <f>'Kiadások 11. m.'!I23</f>
        <v>52103363</v>
      </c>
      <c r="G64" s="68"/>
      <c r="H64" s="484"/>
    </row>
    <row r="65" spans="2:8" ht="14.25" customHeight="1" thickBot="1" x14ac:dyDescent="0.25">
      <c r="B65" s="49" t="s">
        <v>66</v>
      </c>
      <c r="C65" s="591" t="s">
        <v>232</v>
      </c>
      <c r="D65" s="294">
        <f>D47+D50+D51+D52+D53+D57+D58+D59+D60</f>
        <v>1218982548</v>
      </c>
      <c r="E65" s="294">
        <f>E47+E50+E51+E52+E53+E57+E58+E59+E60</f>
        <v>1461128572</v>
      </c>
      <c r="F65" s="294">
        <f>F47+F50+F51+F52+F53+F57+F58+F59+F60+F54</f>
        <v>1792715015</v>
      </c>
      <c r="G65" s="484"/>
      <c r="H65" s="484"/>
    </row>
    <row r="66" spans="2:8" ht="15" customHeight="1" thickBot="1" x14ac:dyDescent="0.25">
      <c r="B66" s="990" t="s">
        <v>568</v>
      </c>
      <c r="C66" s="991"/>
      <c r="D66" s="991"/>
      <c r="E66" s="994"/>
      <c r="F66" s="290">
        <f>F65</f>
        <v>1792715015</v>
      </c>
    </row>
    <row r="67" spans="2:8" ht="13.5" thickBot="1" x14ac:dyDescent="0.25">
      <c r="B67" s="990" t="s">
        <v>569</v>
      </c>
      <c r="C67" s="991"/>
      <c r="D67" s="991"/>
      <c r="E67" s="994"/>
      <c r="F67" s="290">
        <f>F36+F37</f>
        <v>1690914805</v>
      </c>
      <c r="G67" s="452"/>
    </row>
    <row r="68" spans="2:8" ht="13.5" thickBot="1" x14ac:dyDescent="0.25">
      <c r="B68" s="990" t="s">
        <v>570</v>
      </c>
      <c r="C68" s="991"/>
      <c r="D68" s="991"/>
      <c r="E68" s="991"/>
      <c r="F68" s="621">
        <f>F66-F67</f>
        <v>101800210</v>
      </c>
    </row>
    <row r="71" spans="2:8" x14ac:dyDescent="0.2">
      <c r="F71" s="545"/>
    </row>
    <row r="72" spans="2:8" x14ac:dyDescent="0.2">
      <c r="F72" s="98"/>
    </row>
  </sheetData>
  <mergeCells count="6">
    <mergeCell ref="B68:E68"/>
    <mergeCell ref="B1:G1"/>
    <mergeCell ref="B36:C36"/>
    <mergeCell ref="B43:E43"/>
    <mergeCell ref="B66:E66"/>
    <mergeCell ref="B67:E67"/>
  </mergeCells>
  <pageMargins left="0.78740157480314965" right="0.78740157480314965" top="0.39370078740157483" bottom="0.39370078740157483" header="0" footer="0"/>
  <pageSetup paperSize="9" scale="70" orientation="portrait" r:id="rId1"/>
  <headerFooter alignWithMargins="0">
    <oddHeader>&amp;R22.sz. melléklet
..../2025.(II.13.) Egyek Önk.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45"/>
  <sheetViews>
    <sheetView topLeftCell="A6" zoomScale="90" zoomScaleNormal="90" zoomScalePageLayoutView="110" workbookViewId="0">
      <selection activeCell="Q34" sqref="Q34"/>
    </sheetView>
  </sheetViews>
  <sheetFormatPr defaultRowHeight="12.75" x14ac:dyDescent="0.2"/>
  <cols>
    <col min="1" max="1" width="33.140625" customWidth="1"/>
    <col min="2" max="2" width="13.7109375" customWidth="1"/>
    <col min="3" max="3" width="15.42578125" customWidth="1"/>
    <col min="4" max="4" width="13.5703125" customWidth="1"/>
    <col min="5" max="5" width="13.140625" customWidth="1"/>
    <col min="6" max="7" width="15.5703125" bestFit="1" customWidth="1"/>
    <col min="8" max="8" width="14.28515625" customWidth="1"/>
    <col min="9" max="9" width="13.85546875" customWidth="1"/>
    <col min="10" max="10" width="11.85546875" customWidth="1"/>
    <col min="11" max="11" width="15.5703125" bestFit="1" customWidth="1"/>
    <col min="12" max="12" width="13.85546875" customWidth="1"/>
    <col min="13" max="13" width="11.140625" customWidth="1"/>
    <col min="14" max="14" width="12" customWidth="1"/>
    <col min="15" max="15" width="11.7109375" customWidth="1"/>
    <col min="17" max="17" width="13.5703125" customWidth="1"/>
  </cols>
  <sheetData>
    <row r="3" spans="1:17" ht="18" x14ac:dyDescent="0.25">
      <c r="A3" s="995" t="s">
        <v>532</v>
      </c>
      <c r="B3" s="995"/>
      <c r="C3" s="995"/>
      <c r="D3" s="995"/>
      <c r="E3" s="995"/>
      <c r="F3" s="995"/>
      <c r="G3" s="995"/>
      <c r="H3" s="995"/>
      <c r="I3" s="995"/>
      <c r="J3" s="995"/>
      <c r="K3" s="995"/>
      <c r="L3" s="995"/>
      <c r="M3" s="995"/>
      <c r="N3" s="995"/>
      <c r="O3" s="995"/>
    </row>
    <row r="4" spans="1:17" ht="18" x14ac:dyDescent="0.25">
      <c r="A4" s="667"/>
      <c r="B4" s="740"/>
      <c r="C4" s="667"/>
      <c r="D4" s="667"/>
      <c r="E4" s="667"/>
      <c r="F4" s="667"/>
      <c r="G4" s="667"/>
      <c r="H4" s="667"/>
      <c r="I4" s="667"/>
      <c r="J4" s="667"/>
      <c r="K4" s="667"/>
      <c r="L4" s="741"/>
      <c r="M4" s="667"/>
      <c r="N4" s="873"/>
      <c r="O4" s="667"/>
    </row>
    <row r="5" spans="1:17" ht="18" x14ac:dyDescent="0.25">
      <c r="A5" s="667"/>
      <c r="B5" s="667"/>
      <c r="C5" s="667"/>
      <c r="D5" s="667"/>
      <c r="E5" s="667"/>
      <c r="F5" s="667"/>
      <c r="G5" s="667"/>
      <c r="H5" s="667"/>
      <c r="I5" s="667"/>
      <c r="J5" s="667"/>
      <c r="K5" s="667"/>
      <c r="L5" s="667"/>
      <c r="M5" s="667"/>
      <c r="N5" s="667"/>
      <c r="O5" s="667"/>
    </row>
    <row r="6" spans="1:17" ht="18" x14ac:dyDescent="0.25">
      <c r="A6" s="667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7" x14ac:dyDescent="0.2">
      <c r="A7" s="36"/>
      <c r="B7" s="38" t="s">
        <v>37</v>
      </c>
      <c r="C7" s="38" t="s">
        <v>457</v>
      </c>
      <c r="D7" s="38" t="s">
        <v>458</v>
      </c>
      <c r="E7" s="38" t="s">
        <v>459</v>
      </c>
      <c r="F7" s="38" t="s">
        <v>460</v>
      </c>
      <c r="G7" s="38" t="s">
        <v>461</v>
      </c>
      <c r="H7" s="38" t="s">
        <v>462</v>
      </c>
      <c r="I7" s="38" t="s">
        <v>463</v>
      </c>
      <c r="J7" s="38" t="s">
        <v>464</v>
      </c>
      <c r="K7" s="38" t="s">
        <v>465</v>
      </c>
      <c r="L7" s="38" t="s">
        <v>466</v>
      </c>
      <c r="M7" s="38" t="s">
        <v>467</v>
      </c>
      <c r="N7" s="38" t="s">
        <v>468</v>
      </c>
      <c r="O7" s="38" t="s">
        <v>24</v>
      </c>
    </row>
    <row r="8" spans="1:17" x14ac:dyDescent="0.2">
      <c r="A8" s="37" t="s">
        <v>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7" ht="35.25" customHeight="1" x14ac:dyDescent="0.2">
      <c r="A9" s="39" t="s">
        <v>38</v>
      </c>
      <c r="B9" s="670"/>
      <c r="C9" s="670"/>
      <c r="D9" s="670"/>
      <c r="E9" s="670"/>
      <c r="F9" s="670"/>
      <c r="G9" s="670"/>
      <c r="H9" s="670"/>
      <c r="I9" s="670"/>
      <c r="J9" s="670"/>
      <c r="K9" s="670"/>
      <c r="L9" s="670"/>
      <c r="M9" s="670"/>
      <c r="N9" s="670"/>
      <c r="O9" s="670"/>
      <c r="Q9" s="2"/>
    </row>
    <row r="10" spans="1:17" ht="29.25" customHeight="1" x14ac:dyDescent="0.2">
      <c r="A10" s="95" t="s">
        <v>118</v>
      </c>
      <c r="B10" s="40">
        <f>'Mérleg 22. m.'!F6</f>
        <v>754467396</v>
      </c>
      <c r="C10" s="40">
        <v>62872000</v>
      </c>
      <c r="D10" s="40">
        <v>62872000</v>
      </c>
      <c r="E10" s="40">
        <v>62872000</v>
      </c>
      <c r="F10" s="40">
        <v>62872000</v>
      </c>
      <c r="G10" s="40">
        <v>62872000</v>
      </c>
      <c r="H10" s="40">
        <v>62872000</v>
      </c>
      <c r="I10" s="40">
        <v>62872000</v>
      </c>
      <c r="J10" s="40">
        <v>62872000</v>
      </c>
      <c r="K10" s="40">
        <v>62872000</v>
      </c>
      <c r="L10" s="40">
        <v>62872000</v>
      </c>
      <c r="M10" s="40">
        <v>62872000</v>
      </c>
      <c r="N10" s="40">
        <v>62875396</v>
      </c>
      <c r="O10" s="40">
        <f>SUM(C10:N10)</f>
        <v>754467396</v>
      </c>
      <c r="Q10" s="2"/>
    </row>
    <row r="11" spans="1:17" ht="48" customHeight="1" x14ac:dyDescent="0.2">
      <c r="A11" s="95" t="s">
        <v>124</v>
      </c>
      <c r="B11" s="40">
        <f>'Mérleg 22. m.'!F17</f>
        <v>200883155</v>
      </c>
      <c r="C11" s="40"/>
      <c r="D11" s="40"/>
      <c r="E11" s="40"/>
      <c r="F11" s="40">
        <v>200883155</v>
      </c>
      <c r="G11" s="40"/>
      <c r="H11" s="40"/>
      <c r="I11" s="40"/>
      <c r="J11" s="40"/>
      <c r="K11" s="40"/>
      <c r="L11" s="40"/>
      <c r="M11" s="40"/>
      <c r="N11" s="40"/>
      <c r="O11" s="40">
        <f t="shared" ref="O11:O17" si="0">SUM(C11:N11)</f>
        <v>200883155</v>
      </c>
      <c r="Q11" s="2"/>
    </row>
    <row r="12" spans="1:17" x14ac:dyDescent="0.2">
      <c r="A12" s="95" t="s">
        <v>137</v>
      </c>
      <c r="B12" s="40">
        <f>'Mérleg 22. m.'!F21</f>
        <v>135921000</v>
      </c>
      <c r="C12" s="40"/>
      <c r="D12" s="40"/>
      <c r="E12" s="40">
        <v>67960500</v>
      </c>
      <c r="F12" s="40"/>
      <c r="G12" s="40"/>
      <c r="H12" s="40"/>
      <c r="I12" s="40"/>
      <c r="J12" s="40"/>
      <c r="K12" s="40">
        <v>67960500</v>
      </c>
      <c r="L12" s="40"/>
      <c r="M12" s="40"/>
      <c r="N12" s="40"/>
      <c r="O12" s="40">
        <f t="shared" si="0"/>
        <v>135921000</v>
      </c>
      <c r="Q12" s="2"/>
    </row>
    <row r="13" spans="1:17" x14ac:dyDescent="0.2">
      <c r="A13" s="39" t="s">
        <v>116</v>
      </c>
      <c r="B13" s="40">
        <f>'Mérleg 22. m.'!F30</f>
        <v>143812000</v>
      </c>
      <c r="C13" s="40">
        <v>11984000</v>
      </c>
      <c r="D13" s="40">
        <v>11984000</v>
      </c>
      <c r="E13" s="40">
        <v>11984000</v>
      </c>
      <c r="F13" s="40">
        <v>11984000</v>
      </c>
      <c r="G13" s="40">
        <v>11984000</v>
      </c>
      <c r="H13" s="40">
        <v>11984000</v>
      </c>
      <c r="I13" s="40">
        <v>11984000</v>
      </c>
      <c r="J13" s="40">
        <v>11984000</v>
      </c>
      <c r="K13" s="40">
        <v>11984000</v>
      </c>
      <c r="L13" s="40">
        <v>11984000</v>
      </c>
      <c r="M13" s="40">
        <v>11984000</v>
      </c>
      <c r="N13" s="40">
        <v>11988000</v>
      </c>
      <c r="O13" s="40">
        <f t="shared" si="0"/>
        <v>143812000</v>
      </c>
      <c r="Q13" s="2"/>
    </row>
    <row r="14" spans="1:17" ht="40.5" customHeight="1" x14ac:dyDescent="0.2">
      <c r="A14" s="39" t="s">
        <v>138</v>
      </c>
      <c r="B14" s="40">
        <f>'Mérleg 22. m.'!F31</f>
        <v>1539000</v>
      </c>
      <c r="C14" s="40"/>
      <c r="D14" s="40"/>
      <c r="E14" s="40"/>
      <c r="F14" s="40">
        <v>1539000</v>
      </c>
      <c r="G14" s="40"/>
      <c r="H14" s="40"/>
      <c r="I14" s="40"/>
      <c r="J14" s="40"/>
      <c r="K14" s="40"/>
      <c r="L14" s="40"/>
      <c r="M14" s="40"/>
      <c r="N14" s="40"/>
      <c r="O14" s="40">
        <f>SUM(C14:N14)</f>
        <v>1539000</v>
      </c>
      <c r="P14" s="104"/>
      <c r="Q14" s="2"/>
    </row>
    <row r="15" spans="1:17" ht="56.25" customHeight="1" x14ac:dyDescent="0.2">
      <c r="A15" s="95" t="s">
        <v>135</v>
      </c>
      <c r="B15" s="40">
        <f>'Mérleg 22. m.'!F32</f>
        <v>21755816</v>
      </c>
      <c r="C15" s="40">
        <v>300000</v>
      </c>
      <c r="D15" s="40">
        <v>300000</v>
      </c>
      <c r="E15" s="40">
        <v>300000</v>
      </c>
      <c r="F15" s="40">
        <v>300000</v>
      </c>
      <c r="G15" s="40">
        <v>300000</v>
      </c>
      <c r="H15" s="40">
        <v>300000</v>
      </c>
      <c r="I15" s="40">
        <v>300000</v>
      </c>
      <c r="J15" s="40">
        <v>300000</v>
      </c>
      <c r="K15" s="40">
        <v>18755816</v>
      </c>
      <c r="L15" s="40">
        <v>300000</v>
      </c>
      <c r="M15" s="40">
        <v>300000</v>
      </c>
      <c r="N15" s="40"/>
      <c r="O15" s="40">
        <f t="shared" si="0"/>
        <v>21755816</v>
      </c>
      <c r="Q15" s="2"/>
    </row>
    <row r="16" spans="1:17" ht="25.5" customHeight="1" x14ac:dyDescent="0.2">
      <c r="A16" s="95" t="s">
        <v>126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104"/>
      <c r="Q16" s="2"/>
    </row>
    <row r="17" spans="1:17" x14ac:dyDescent="0.2">
      <c r="A17" s="95" t="s">
        <v>133</v>
      </c>
      <c r="B17" s="40">
        <f>'Mérleg 22. m.'!F37</f>
        <v>432536438</v>
      </c>
      <c r="C17" s="40">
        <f>50363000/2+532925</f>
        <v>25714425</v>
      </c>
      <c r="D17" s="40">
        <f>25181613+2131000</f>
        <v>27312613</v>
      </c>
      <c r="E17" s="40">
        <f>1528000+30285344+17727864</f>
        <v>49541208</v>
      </c>
      <c r="F17" s="40"/>
      <c r="G17" s="40"/>
      <c r="H17" s="40"/>
      <c r="I17" s="40"/>
      <c r="J17" s="40">
        <v>12505065</v>
      </c>
      <c r="K17" s="40">
        <v>12724215</v>
      </c>
      <c r="L17" s="40">
        <v>59522822</v>
      </c>
      <c r="M17" s="40"/>
      <c r="N17" s="40"/>
      <c r="O17" s="40">
        <f t="shared" si="0"/>
        <v>187320348</v>
      </c>
      <c r="Q17" s="2"/>
    </row>
    <row r="18" spans="1:17" x14ac:dyDescent="0.2">
      <c r="A18" s="44" t="s">
        <v>39</v>
      </c>
      <c r="B18" s="45">
        <f>SUM(B10:B17)</f>
        <v>1690914805</v>
      </c>
      <c r="C18" s="45">
        <f>SUM(C10:C17)</f>
        <v>100870425</v>
      </c>
      <c r="D18" s="45">
        <f t="shared" ref="D18:N18" si="1">SUM(D10:D17)</f>
        <v>102468613</v>
      </c>
      <c r="E18" s="45">
        <f t="shared" si="1"/>
        <v>192657708</v>
      </c>
      <c r="F18" s="45">
        <f t="shared" si="1"/>
        <v>277578155</v>
      </c>
      <c r="G18" s="45">
        <f t="shared" si="1"/>
        <v>75156000</v>
      </c>
      <c r="H18" s="45">
        <f t="shared" si="1"/>
        <v>75156000</v>
      </c>
      <c r="I18" s="45">
        <f t="shared" si="1"/>
        <v>75156000</v>
      </c>
      <c r="J18" s="45">
        <f t="shared" si="1"/>
        <v>87661065</v>
      </c>
      <c r="K18" s="45">
        <f t="shared" si="1"/>
        <v>174296531</v>
      </c>
      <c r="L18" s="45">
        <f t="shared" si="1"/>
        <v>134678822</v>
      </c>
      <c r="M18" s="45">
        <f t="shared" si="1"/>
        <v>75156000</v>
      </c>
      <c r="N18" s="45">
        <f t="shared" si="1"/>
        <v>74863396</v>
      </c>
      <c r="O18" s="45">
        <f>SUM(O10:O17)</f>
        <v>1445698715</v>
      </c>
      <c r="Q18" s="2"/>
    </row>
    <row r="19" spans="1:17" x14ac:dyDescent="0.2">
      <c r="A19" s="41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Q19" s="2"/>
    </row>
    <row r="20" spans="1:17" x14ac:dyDescent="0.2">
      <c r="A20" s="41"/>
      <c r="B20" s="38" t="s">
        <v>37</v>
      </c>
      <c r="C20" s="38" t="s">
        <v>457</v>
      </c>
      <c r="D20" s="38" t="s">
        <v>458</v>
      </c>
      <c r="E20" s="38" t="s">
        <v>459</v>
      </c>
      <c r="F20" s="38" t="s">
        <v>460</v>
      </c>
      <c r="G20" s="38" t="s">
        <v>461</v>
      </c>
      <c r="H20" s="38" t="s">
        <v>462</v>
      </c>
      <c r="I20" s="38" t="s">
        <v>463</v>
      </c>
      <c r="J20" s="38" t="s">
        <v>464</v>
      </c>
      <c r="K20" s="38" t="s">
        <v>465</v>
      </c>
      <c r="L20" s="38" t="s">
        <v>466</v>
      </c>
      <c r="M20" s="38" t="s">
        <v>467</v>
      </c>
      <c r="N20" s="38" t="s">
        <v>468</v>
      </c>
      <c r="O20" s="38" t="s">
        <v>24</v>
      </c>
      <c r="Q20" s="2"/>
    </row>
    <row r="21" spans="1:17" x14ac:dyDescent="0.2">
      <c r="A21" s="37" t="s">
        <v>0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Q21" s="2"/>
    </row>
    <row r="22" spans="1:17" x14ac:dyDescent="0.2">
      <c r="A22" s="39" t="s">
        <v>40</v>
      </c>
      <c r="Q22" s="2"/>
    </row>
    <row r="23" spans="1:17" ht="30.75" customHeight="1" x14ac:dyDescent="0.2">
      <c r="A23" s="39" t="s">
        <v>155</v>
      </c>
      <c r="B23" s="40">
        <f>'Működési kiadások 19.'!F7</f>
        <v>650396391</v>
      </c>
      <c r="C23" s="40">
        <f>B23/12</f>
        <v>54199699.25</v>
      </c>
      <c r="D23" s="40">
        <f>B23/12</f>
        <v>54199699.25</v>
      </c>
      <c r="E23" s="40">
        <v>42934996</v>
      </c>
      <c r="F23" s="40">
        <v>42934996</v>
      </c>
      <c r="G23" s="40">
        <v>42934996</v>
      </c>
      <c r="H23" s="40">
        <v>42934996</v>
      </c>
      <c r="I23" s="40">
        <v>42934996</v>
      </c>
      <c r="J23" s="40">
        <v>42934966</v>
      </c>
      <c r="K23" s="40">
        <v>42934966</v>
      </c>
      <c r="L23" s="40">
        <v>42934966</v>
      </c>
      <c r="M23" s="40">
        <v>42934966</v>
      </c>
      <c r="N23" s="40">
        <f>B23-C23-D23-E23-F23-G23-H23-I23-J23-K23-L23-M23</f>
        <v>155582148.5</v>
      </c>
      <c r="O23" s="40">
        <f t="shared" ref="O23:O30" si="2">SUM(C23:N23)</f>
        <v>650396391</v>
      </c>
      <c r="Q23" s="2"/>
    </row>
    <row r="24" spans="1:17" ht="22.5" x14ac:dyDescent="0.2">
      <c r="A24" s="95" t="s">
        <v>173</v>
      </c>
      <c r="B24" s="40">
        <f>'Működési kiadások 19.'!F12</f>
        <v>64228508</v>
      </c>
      <c r="C24" s="40">
        <v>3966321</v>
      </c>
      <c r="D24" s="40">
        <v>3966321</v>
      </c>
      <c r="E24" s="40">
        <v>3966321</v>
      </c>
      <c r="F24" s="40">
        <v>3966321</v>
      </c>
      <c r="G24" s="40">
        <v>3966321</v>
      </c>
      <c r="H24" s="40">
        <v>3966321</v>
      </c>
      <c r="I24" s="40">
        <v>3966321</v>
      </c>
      <c r="J24" s="40">
        <v>3966321</v>
      </c>
      <c r="K24" s="40">
        <v>3966321</v>
      </c>
      <c r="L24" s="40">
        <v>3966321</v>
      </c>
      <c r="M24" s="40">
        <v>3966321</v>
      </c>
      <c r="N24" s="40">
        <f>B24-C24-D24-E24-F24-G24-H24-I24-J24-K24-L24-M24</f>
        <v>20598977</v>
      </c>
      <c r="O24" s="40">
        <f t="shared" si="2"/>
        <v>64228508</v>
      </c>
      <c r="Q24" s="2"/>
    </row>
    <row r="25" spans="1:17" ht="18" customHeight="1" x14ac:dyDescent="0.2">
      <c r="A25" s="39" t="s">
        <v>157</v>
      </c>
      <c r="B25" s="67">
        <f>'Működési kiadások 19.'!F13</f>
        <v>300964113</v>
      </c>
      <c r="C25" s="40">
        <f>276127736/12</f>
        <v>23010644.666666668</v>
      </c>
      <c r="D25" s="40">
        <f>276127736/12</f>
        <v>23010644.666666668</v>
      </c>
      <c r="E25" s="40">
        <f>276127736/12</f>
        <v>23010644.666666668</v>
      </c>
      <c r="F25" s="40">
        <f>276127736/12</f>
        <v>23010644.666666668</v>
      </c>
      <c r="G25" s="40">
        <f>276127736/12</f>
        <v>23010644.666666668</v>
      </c>
      <c r="H25" s="40">
        <f t="shared" ref="H25:M25" si="3">276127736/12</f>
        <v>23010644.666666668</v>
      </c>
      <c r="I25" s="40">
        <f t="shared" si="3"/>
        <v>23010644.666666668</v>
      </c>
      <c r="J25" s="40">
        <f t="shared" si="3"/>
        <v>23010644.666666668</v>
      </c>
      <c r="K25" s="40">
        <f t="shared" si="3"/>
        <v>23010644.666666668</v>
      </c>
      <c r="L25" s="40">
        <f t="shared" si="3"/>
        <v>23010644.666666668</v>
      </c>
      <c r="M25" s="40">
        <f t="shared" si="3"/>
        <v>23010644.666666668</v>
      </c>
      <c r="N25" s="40">
        <f>B25-C25-D25-E25-F25-G25-H25-I25-J25-K25-L25-M25</f>
        <v>47847021.666666687</v>
      </c>
      <c r="O25" s="40">
        <f>SUM(C25:N25)</f>
        <v>300964113</v>
      </c>
      <c r="Q25" s="2"/>
    </row>
    <row r="26" spans="1:17" x14ac:dyDescent="0.2">
      <c r="A26" s="39" t="s">
        <v>158</v>
      </c>
      <c r="B26" s="40">
        <f>'Működési kiadások 19.'!F14</f>
        <v>19763000</v>
      </c>
      <c r="C26" s="40">
        <v>1694000</v>
      </c>
      <c r="D26" s="40">
        <v>1694000</v>
      </c>
      <c r="E26" s="40">
        <v>1694000</v>
      </c>
      <c r="F26" s="40">
        <v>1694000</v>
      </c>
      <c r="G26" s="40">
        <v>1694000</v>
      </c>
      <c r="H26" s="40">
        <v>1694000</v>
      </c>
      <c r="I26" s="40">
        <v>1644000</v>
      </c>
      <c r="J26" s="40">
        <v>1644000</v>
      </c>
      <c r="K26" s="40">
        <v>1644000</v>
      </c>
      <c r="L26" s="40">
        <v>1644000</v>
      </c>
      <c r="M26" s="40">
        <v>1644000</v>
      </c>
      <c r="N26" s="40">
        <v>1379000</v>
      </c>
      <c r="O26" s="40">
        <f>SUM(C26:N26)</f>
        <v>19763000</v>
      </c>
      <c r="Q26" s="2"/>
    </row>
    <row r="27" spans="1:17" s="68" customFormat="1" ht="22.5" x14ac:dyDescent="0.2">
      <c r="A27" s="95" t="s">
        <v>174</v>
      </c>
      <c r="B27" s="40">
        <f>'Működési kiadások 19.'!F15-'Működési kiadások 19.'!F28</f>
        <v>70426000</v>
      </c>
      <c r="C27" s="40">
        <f>8992500+2425000</f>
        <v>11417500</v>
      </c>
      <c r="D27" s="40">
        <f>2446700+2425000</f>
        <v>4871700</v>
      </c>
      <c r="E27" s="40">
        <f t="shared" ref="E27:M27" si="4">2446700+2425000</f>
        <v>4871700</v>
      </c>
      <c r="F27" s="40">
        <f t="shared" si="4"/>
        <v>4871700</v>
      </c>
      <c r="G27" s="40">
        <f>2446700+2425000+5419000</f>
        <v>10290700</v>
      </c>
      <c r="H27" s="40">
        <f t="shared" si="4"/>
        <v>4871700</v>
      </c>
      <c r="I27" s="40">
        <f t="shared" si="4"/>
        <v>4871700</v>
      </c>
      <c r="J27" s="40">
        <f t="shared" si="4"/>
        <v>4871700</v>
      </c>
      <c r="K27" s="40">
        <f t="shared" si="4"/>
        <v>4871700</v>
      </c>
      <c r="L27" s="40">
        <f t="shared" si="4"/>
        <v>4871700</v>
      </c>
      <c r="M27" s="40">
        <f t="shared" si="4"/>
        <v>4871700</v>
      </c>
      <c r="N27" s="40">
        <f>2447500+2425000</f>
        <v>4872500</v>
      </c>
      <c r="O27" s="40">
        <f t="shared" si="2"/>
        <v>70426000</v>
      </c>
      <c r="Q27" s="2"/>
    </row>
    <row r="28" spans="1:17" x14ac:dyDescent="0.2">
      <c r="A28" s="66" t="s">
        <v>404</v>
      </c>
      <c r="B28" s="67">
        <f>'Mérleg 22. m.'!F54</f>
        <v>38755816</v>
      </c>
      <c r="C28" s="40">
        <v>1666667</v>
      </c>
      <c r="D28" s="40">
        <v>1666667</v>
      </c>
      <c r="E28" s="40">
        <v>1666667</v>
      </c>
      <c r="F28" s="40">
        <v>1666667</v>
      </c>
      <c r="G28" s="40">
        <v>1666667</v>
      </c>
      <c r="H28" s="40">
        <v>1666667</v>
      </c>
      <c r="I28" s="40">
        <v>1666667</v>
      </c>
      <c r="J28" s="40">
        <v>1666667</v>
      </c>
      <c r="K28" s="40">
        <v>1666667</v>
      </c>
      <c r="L28" s="40">
        <v>1666667</v>
      </c>
      <c r="M28" s="40">
        <v>3333330</v>
      </c>
      <c r="N28" s="40">
        <v>18755816</v>
      </c>
      <c r="O28" s="67">
        <f>SUM(C28:N28)</f>
        <v>38755816</v>
      </c>
      <c r="Q28" s="2"/>
    </row>
    <row r="29" spans="1:17" ht="36.75" customHeight="1" x14ac:dyDescent="0.2">
      <c r="A29" s="39" t="s">
        <v>159</v>
      </c>
      <c r="B29" s="40">
        <f>'Felhalmozás 20.'!D35</f>
        <v>336587519</v>
      </c>
      <c r="C29" s="40"/>
      <c r="D29" s="40"/>
      <c r="E29" s="40">
        <v>9500000</v>
      </c>
      <c r="F29" s="40">
        <v>100000</v>
      </c>
      <c r="G29" s="40">
        <v>13811720</v>
      </c>
      <c r="H29" s="40"/>
      <c r="I29" s="40">
        <v>190500</v>
      </c>
      <c r="J29" s="40"/>
      <c r="K29" s="40">
        <v>83202953</v>
      </c>
      <c r="L29" s="40">
        <v>3290582</v>
      </c>
      <c r="M29" s="40">
        <v>226212120</v>
      </c>
      <c r="N29" s="40">
        <v>279644</v>
      </c>
      <c r="O29" s="40">
        <f>SUM(C29:N29)</f>
        <v>336587519</v>
      </c>
      <c r="Q29" s="2"/>
    </row>
    <row r="30" spans="1:17" x14ac:dyDescent="0.2">
      <c r="A30" s="95" t="s">
        <v>160</v>
      </c>
      <c r="B30" s="40">
        <f>'Felhalmozás 20.'!D8</f>
        <v>2000000</v>
      </c>
      <c r="C30" s="742"/>
      <c r="D30" s="742"/>
      <c r="E30" s="742">
        <v>500000</v>
      </c>
      <c r="F30" s="742"/>
      <c r="G30" s="742"/>
      <c r="H30" s="742"/>
      <c r="I30" s="742">
        <v>1000000</v>
      </c>
      <c r="J30" s="742"/>
      <c r="K30" s="742"/>
      <c r="L30" s="742">
        <v>500000</v>
      </c>
      <c r="M30" s="742"/>
      <c r="N30" s="742"/>
      <c r="O30" s="40">
        <f t="shared" si="2"/>
        <v>2000000</v>
      </c>
      <c r="Q30" s="2"/>
    </row>
    <row r="31" spans="1:17" x14ac:dyDescent="0.2">
      <c r="A31" s="39" t="s">
        <v>161</v>
      </c>
      <c r="B31" s="67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Q31" s="2"/>
    </row>
    <row r="32" spans="1:17" x14ac:dyDescent="0.2">
      <c r="A32" s="39" t="s">
        <v>241</v>
      </c>
      <c r="B32" s="67">
        <f>'Kiadások 11. m.'!I15</f>
        <v>12274215</v>
      </c>
      <c r="C32" s="40">
        <v>12274215</v>
      </c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>
        <f>SUM(C32:N32)</f>
        <v>12274215</v>
      </c>
      <c r="Q32" s="2"/>
    </row>
    <row r="33" spans="1:17" x14ac:dyDescent="0.2">
      <c r="A33" s="39" t="s">
        <v>242</v>
      </c>
      <c r="B33" s="67">
        <f>'Kiadások 11. m.'!I23+'Kiadások 11. m.'!I17</f>
        <v>297319453</v>
      </c>
      <c r="C33" s="40">
        <v>27246232</v>
      </c>
      <c r="D33" s="40">
        <v>27246232</v>
      </c>
      <c r="E33" s="40">
        <v>32330422</v>
      </c>
      <c r="F33" s="40">
        <v>27246232</v>
      </c>
      <c r="G33" s="40">
        <v>27246232</v>
      </c>
      <c r="H33" s="40">
        <v>27246232</v>
      </c>
      <c r="I33" s="40">
        <v>17727864</v>
      </c>
      <c r="J33" s="40">
        <v>27246232</v>
      </c>
      <c r="K33" s="40">
        <v>2045077</v>
      </c>
      <c r="L33" s="40">
        <v>27246232</v>
      </c>
      <c r="M33" s="40">
        <v>27246232</v>
      </c>
      <c r="N33" s="40">
        <v>27246234</v>
      </c>
      <c r="O33" s="40">
        <f>SUM(C33:N33)</f>
        <v>297319453</v>
      </c>
      <c r="Q33" s="2"/>
    </row>
    <row r="34" spans="1:17" x14ac:dyDescent="0.2">
      <c r="A34" s="44" t="s">
        <v>41</v>
      </c>
      <c r="B34" s="45">
        <f>SUM(B23:B33)</f>
        <v>1792715015</v>
      </c>
      <c r="C34" s="45">
        <f t="shared" ref="C34:N34" si="5">SUM(C23:C33)</f>
        <v>135475278.91666669</v>
      </c>
      <c r="D34" s="45">
        <f t="shared" si="5"/>
        <v>116655263.91666667</v>
      </c>
      <c r="E34" s="45">
        <f t="shared" si="5"/>
        <v>120474750.66666667</v>
      </c>
      <c r="F34" s="45">
        <f t="shared" si="5"/>
        <v>105490560.66666667</v>
      </c>
      <c r="G34" s="45">
        <f t="shared" si="5"/>
        <v>124621280.66666667</v>
      </c>
      <c r="H34" s="45">
        <f t="shared" si="5"/>
        <v>105390560.66666667</v>
      </c>
      <c r="I34" s="45">
        <f t="shared" si="5"/>
        <v>97012692.666666672</v>
      </c>
      <c r="J34" s="45">
        <f t="shared" si="5"/>
        <v>105340530.66666667</v>
      </c>
      <c r="K34" s="45">
        <f t="shared" si="5"/>
        <v>163342328.66666669</v>
      </c>
      <c r="L34" s="45">
        <f t="shared" si="5"/>
        <v>109131112.66666667</v>
      </c>
      <c r="M34" s="45">
        <f t="shared" si="5"/>
        <v>333219313.66666669</v>
      </c>
      <c r="N34" s="45">
        <f t="shared" si="5"/>
        <v>276561341.16666669</v>
      </c>
      <c r="O34" s="45">
        <f>SUM(O23:O33)</f>
        <v>1792715015</v>
      </c>
      <c r="Q34" s="891"/>
    </row>
    <row r="35" spans="1:17" x14ac:dyDescent="0.2">
      <c r="B35" s="452"/>
      <c r="F35" s="452"/>
    </row>
    <row r="36" spans="1:17" x14ac:dyDescent="0.2">
      <c r="B36" s="2"/>
      <c r="C36" s="452"/>
      <c r="F36" s="452"/>
      <c r="K36" s="2"/>
    </row>
    <row r="37" spans="1:17" x14ac:dyDescent="0.2">
      <c r="B37" s="98"/>
      <c r="C37" s="452"/>
      <c r="D37" s="452"/>
      <c r="F37" s="452"/>
      <c r="G37" s="452"/>
      <c r="H37" s="98"/>
      <c r="I37" s="452"/>
      <c r="K37" s="452"/>
      <c r="L37" s="2"/>
      <c r="M37" s="2"/>
    </row>
    <row r="38" spans="1:17" x14ac:dyDescent="0.2">
      <c r="B38" s="2"/>
      <c r="D38" s="452"/>
      <c r="F38" s="452"/>
      <c r="G38" s="452"/>
      <c r="H38" s="98"/>
      <c r="I38" s="452"/>
      <c r="K38" s="452"/>
      <c r="L38" s="2"/>
      <c r="N38" s="2"/>
    </row>
    <row r="39" spans="1:17" x14ac:dyDescent="0.2">
      <c r="D39" s="452"/>
      <c r="F39" s="452"/>
      <c r="G39" s="452"/>
      <c r="H39" s="98"/>
      <c r="I39" s="452"/>
      <c r="K39" s="452"/>
    </row>
    <row r="40" spans="1:17" x14ac:dyDescent="0.2">
      <c r="D40" s="452"/>
      <c r="F40" s="452"/>
      <c r="G40" s="452"/>
      <c r="H40" s="98"/>
      <c r="I40" s="452"/>
      <c r="K40" s="452"/>
    </row>
    <row r="41" spans="1:17" x14ac:dyDescent="0.2">
      <c r="D41" s="452"/>
      <c r="F41" s="452"/>
      <c r="G41" s="452"/>
      <c r="H41" s="98"/>
      <c r="I41" s="452"/>
    </row>
    <row r="42" spans="1:17" x14ac:dyDescent="0.2">
      <c r="D42" s="452"/>
      <c r="F42" s="452"/>
      <c r="G42" s="452"/>
      <c r="H42" s="98"/>
      <c r="I42" s="452"/>
    </row>
    <row r="43" spans="1:17" x14ac:dyDescent="0.2">
      <c r="D43" s="452"/>
      <c r="F43" s="98"/>
      <c r="G43" s="452"/>
      <c r="H43" s="98"/>
      <c r="I43" s="452"/>
    </row>
    <row r="44" spans="1:17" x14ac:dyDescent="0.2">
      <c r="D44" s="452"/>
    </row>
    <row r="45" spans="1:17" x14ac:dyDescent="0.2">
      <c r="H45" s="98"/>
    </row>
  </sheetData>
  <mergeCells count="1">
    <mergeCell ref="A3:O3"/>
  </mergeCells>
  <pageMargins left="0.75" right="0.75" top="1" bottom="1" header="0.5" footer="0.5"/>
  <pageSetup paperSize="9" scale="53" orientation="landscape" r:id="rId1"/>
  <headerFooter alignWithMargins="0">
    <oddHeader>&amp;R23. sz. melléklet
.../2025.(II.13.) Egyek Önk.</oddHead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31"/>
  <sheetViews>
    <sheetView tabSelected="1" topLeftCell="A16" zoomScale="120" zoomScaleNormal="120" workbookViewId="0">
      <selection activeCell="D28" sqref="D28"/>
    </sheetView>
  </sheetViews>
  <sheetFormatPr defaultRowHeight="12.75" x14ac:dyDescent="0.2"/>
  <cols>
    <col min="2" max="2" width="10.140625" customWidth="1"/>
    <col min="3" max="3" width="35.42578125" customWidth="1"/>
    <col min="4" max="4" width="17.7109375" customWidth="1"/>
    <col min="5" max="5" width="16.42578125" customWidth="1"/>
  </cols>
  <sheetData>
    <row r="2" spans="2:5" x14ac:dyDescent="0.2">
      <c r="B2" s="998" t="s">
        <v>533</v>
      </c>
      <c r="C2" s="998"/>
      <c r="D2" s="998"/>
      <c r="E2" s="998"/>
    </row>
    <row r="3" spans="2:5" ht="14.25" x14ac:dyDescent="0.2">
      <c r="B3" s="999" t="s">
        <v>413</v>
      </c>
      <c r="C3" s="999"/>
      <c r="D3" s="999"/>
      <c r="E3" s="999"/>
    </row>
    <row r="4" spans="2:5" ht="15.75" thickBot="1" x14ac:dyDescent="0.25">
      <c r="B4" s="678"/>
      <c r="C4" s="996"/>
      <c r="D4" s="996"/>
      <c r="E4" s="679" t="s">
        <v>75</v>
      </c>
    </row>
    <row r="5" spans="2:5" ht="39" thickBot="1" x14ac:dyDescent="0.25">
      <c r="B5" s="680" t="s">
        <v>48</v>
      </c>
      <c r="C5" s="681" t="s">
        <v>44</v>
      </c>
      <c r="D5" s="681" t="s">
        <v>414</v>
      </c>
      <c r="E5" s="682" t="s">
        <v>415</v>
      </c>
    </row>
    <row r="6" spans="2:5" ht="13.5" thickBot="1" x14ac:dyDescent="0.25">
      <c r="B6" s="683">
        <v>1</v>
      </c>
      <c r="C6" s="684">
        <v>2</v>
      </c>
      <c r="D6" s="684">
        <v>3</v>
      </c>
      <c r="E6" s="685">
        <v>4</v>
      </c>
    </row>
    <row r="7" spans="2:5" x14ac:dyDescent="0.2">
      <c r="B7" s="686" t="s">
        <v>2</v>
      </c>
      <c r="C7" s="687" t="s">
        <v>416</v>
      </c>
      <c r="D7" s="688"/>
      <c r="E7" s="689"/>
    </row>
    <row r="8" spans="2:5" x14ac:dyDescent="0.2">
      <c r="B8" s="690" t="s">
        <v>6</v>
      </c>
      <c r="C8" s="691" t="s">
        <v>417</v>
      </c>
      <c r="D8" s="692"/>
      <c r="E8" s="693"/>
    </row>
    <row r="9" spans="2:5" ht="25.5" x14ac:dyDescent="0.2">
      <c r="B9" s="690" t="s">
        <v>10</v>
      </c>
      <c r="C9" s="691" t="s">
        <v>418</v>
      </c>
      <c r="D9" s="692"/>
      <c r="E9" s="693"/>
    </row>
    <row r="10" spans="2:5" ht="25.5" x14ac:dyDescent="0.2">
      <c r="B10" s="690" t="s">
        <v>4</v>
      </c>
      <c r="C10" s="691" t="s">
        <v>419</v>
      </c>
      <c r="D10" s="692"/>
      <c r="E10" s="693"/>
    </row>
    <row r="11" spans="2:5" ht="25.5" x14ac:dyDescent="0.2">
      <c r="B11" s="690" t="s">
        <v>7</v>
      </c>
      <c r="C11" s="691" t="s">
        <v>420</v>
      </c>
      <c r="D11" s="692"/>
      <c r="E11" s="693"/>
    </row>
    <row r="12" spans="2:5" ht="25.5" x14ac:dyDescent="0.2">
      <c r="B12" s="690" t="s">
        <v>5</v>
      </c>
      <c r="C12" s="691" t="s">
        <v>420</v>
      </c>
      <c r="D12" s="692"/>
      <c r="E12" s="693"/>
    </row>
    <row r="13" spans="2:5" ht="25.5" x14ac:dyDescent="0.2">
      <c r="B13" s="690" t="s">
        <v>12</v>
      </c>
      <c r="C13" s="691" t="s">
        <v>420</v>
      </c>
      <c r="D13" s="692"/>
      <c r="E13" s="693"/>
    </row>
    <row r="14" spans="2:5" ht="22.5" x14ac:dyDescent="0.2">
      <c r="B14" s="690" t="s">
        <v>3</v>
      </c>
      <c r="C14" s="694" t="s">
        <v>421</v>
      </c>
      <c r="D14" s="695"/>
      <c r="E14" s="696"/>
    </row>
    <row r="15" spans="2:5" ht="22.5" x14ac:dyDescent="0.2">
      <c r="B15" s="690" t="s">
        <v>9</v>
      </c>
      <c r="C15" s="697" t="s">
        <v>422</v>
      </c>
      <c r="D15" s="698">
        <f>SUM(D16:D17)</f>
        <v>941742</v>
      </c>
      <c r="E15" s="698">
        <f>SUM(E16:E17)</f>
        <v>941742</v>
      </c>
    </row>
    <row r="16" spans="2:5" ht="45" x14ac:dyDescent="0.2">
      <c r="B16" s="699" t="s">
        <v>423</v>
      </c>
      <c r="C16" s="694" t="s">
        <v>424</v>
      </c>
      <c r="D16" s="692">
        <v>732000</v>
      </c>
      <c r="E16" s="693">
        <v>732000</v>
      </c>
    </row>
    <row r="17" spans="2:5" ht="45" x14ac:dyDescent="0.2">
      <c r="B17" s="699" t="s">
        <v>425</v>
      </c>
      <c r="C17" s="694" t="s">
        <v>424</v>
      </c>
      <c r="D17" s="692">
        <v>209742</v>
      </c>
      <c r="E17" s="693">
        <v>209742</v>
      </c>
    </row>
    <row r="18" spans="2:5" ht="25.5" x14ac:dyDescent="0.2">
      <c r="B18" s="690" t="s">
        <v>25</v>
      </c>
      <c r="C18" s="691" t="s">
        <v>426</v>
      </c>
      <c r="D18" s="692"/>
      <c r="E18" s="693"/>
    </row>
    <row r="19" spans="2:5" x14ac:dyDescent="0.2">
      <c r="B19" s="690" t="s">
        <v>15</v>
      </c>
      <c r="C19" s="691" t="s">
        <v>427</v>
      </c>
      <c r="D19" s="692"/>
      <c r="E19" s="693"/>
    </row>
    <row r="20" spans="2:5" x14ac:dyDescent="0.2">
      <c r="B20" s="690" t="s">
        <v>61</v>
      </c>
      <c r="C20" s="691" t="s">
        <v>428</v>
      </c>
      <c r="D20" s="692"/>
      <c r="E20" s="693"/>
    </row>
    <row r="21" spans="2:5" ht="15" x14ac:dyDescent="0.2">
      <c r="B21" s="700" t="s">
        <v>64</v>
      </c>
      <c r="C21" s="701" t="s">
        <v>429</v>
      </c>
      <c r="D21" s="702">
        <f>SUM(D22:D25)</f>
        <v>4505411</v>
      </c>
      <c r="E21" s="702">
        <f>SUM(E22:E25)</f>
        <v>4505411</v>
      </c>
    </row>
    <row r="22" spans="2:5" ht="45" x14ac:dyDescent="0.2">
      <c r="B22" s="703" t="s">
        <v>430</v>
      </c>
      <c r="C22" s="704" t="s">
        <v>431</v>
      </c>
      <c r="D22" s="705">
        <v>20000</v>
      </c>
      <c r="E22" s="706">
        <v>20000</v>
      </c>
    </row>
    <row r="23" spans="2:5" ht="33.75" x14ac:dyDescent="0.2">
      <c r="B23" s="703" t="s">
        <v>430</v>
      </c>
      <c r="C23" s="704" t="s">
        <v>432</v>
      </c>
      <c r="D23" s="707">
        <v>4356018</v>
      </c>
      <c r="E23" s="708">
        <v>4356018</v>
      </c>
    </row>
    <row r="24" spans="2:5" ht="45" x14ac:dyDescent="0.2">
      <c r="B24" s="703" t="s">
        <v>433</v>
      </c>
      <c r="C24" s="704" t="s">
        <v>434</v>
      </c>
      <c r="D24" s="707">
        <v>25000</v>
      </c>
      <c r="E24" s="708">
        <v>25000</v>
      </c>
    </row>
    <row r="25" spans="2:5" ht="45" x14ac:dyDescent="0.2">
      <c r="B25" s="703" t="s">
        <v>435</v>
      </c>
      <c r="C25" s="704" t="s">
        <v>436</v>
      </c>
      <c r="D25" s="707">
        <v>104393</v>
      </c>
      <c r="E25" s="708">
        <v>104393</v>
      </c>
    </row>
    <row r="26" spans="2:5" ht="15.75" x14ac:dyDescent="0.2">
      <c r="B26" s="709" t="s">
        <v>62</v>
      </c>
      <c r="C26" s="710" t="s">
        <v>437</v>
      </c>
      <c r="D26" s="711">
        <f>D27+D28</f>
        <v>13453200</v>
      </c>
      <c r="E26" s="711">
        <f>E27+E28</f>
        <v>9878040</v>
      </c>
    </row>
    <row r="27" spans="2:5" ht="33.75" x14ac:dyDescent="0.2">
      <c r="B27" s="699" t="s">
        <v>438</v>
      </c>
      <c r="C27" s="694" t="s">
        <v>573</v>
      </c>
      <c r="D27" s="712">
        <f>E27/0.7</f>
        <v>11149200</v>
      </c>
      <c r="E27" s="712">
        <v>7804440</v>
      </c>
    </row>
    <row r="28" spans="2:5" ht="33.75" x14ac:dyDescent="0.2">
      <c r="B28" s="699" t="s">
        <v>439</v>
      </c>
      <c r="C28" s="694" t="s">
        <v>572</v>
      </c>
      <c r="D28" s="692">
        <v>2304000</v>
      </c>
      <c r="E28" s="692">
        <v>2073600</v>
      </c>
    </row>
    <row r="29" spans="2:5" ht="1.5" customHeight="1" x14ac:dyDescent="0.2">
      <c r="B29" s="713" t="s">
        <v>63</v>
      </c>
      <c r="C29" s="714"/>
      <c r="D29" s="715"/>
      <c r="E29" s="696">
        <v>207</v>
      </c>
    </row>
    <row r="30" spans="2:5" ht="16.5" thickBot="1" x14ac:dyDescent="0.25">
      <c r="B30" s="716" t="s">
        <v>66</v>
      </c>
      <c r="C30" s="717" t="s">
        <v>13</v>
      </c>
      <c r="D30" s="718">
        <f>D21+D26+D15</f>
        <v>18900353</v>
      </c>
      <c r="E30" s="718">
        <f>E21+E26+E15</f>
        <v>15325193</v>
      </c>
    </row>
    <row r="31" spans="2:5" x14ac:dyDescent="0.2">
      <c r="B31" s="719" t="s">
        <v>440</v>
      </c>
      <c r="C31" s="997" t="s">
        <v>441</v>
      </c>
      <c r="D31" s="997"/>
      <c r="E31" s="997"/>
    </row>
  </sheetData>
  <mergeCells count="4">
    <mergeCell ref="C4:D4"/>
    <mergeCell ref="C31:E31"/>
    <mergeCell ref="B2:E2"/>
    <mergeCell ref="B3:E3"/>
  </mergeCells>
  <pageMargins left="0.75" right="0.75" top="1" bottom="1" header="0.5" footer="0.5"/>
  <pageSetup paperSize="9" scale="96" orientation="portrait" r:id="rId1"/>
  <headerFooter alignWithMargins="0">
    <oddHeader>&amp;R24. sz. melléklet
....../2025.(II.13.) Egyek. Önk.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10" zoomScale="110" zoomScaleNormal="110" workbookViewId="0">
      <selection activeCell="L21" sqref="L21"/>
    </sheetView>
  </sheetViews>
  <sheetFormatPr defaultRowHeight="12.75" x14ac:dyDescent="0.2"/>
  <cols>
    <col min="1" max="1" width="33.28515625" style="4" customWidth="1"/>
    <col min="2" max="2" width="18.28515625" style="4" customWidth="1"/>
    <col min="3" max="3" width="18.7109375" style="4" customWidth="1"/>
    <col min="4" max="4" width="17" style="4" customWidth="1"/>
    <col min="5" max="5" width="33.7109375" style="4" customWidth="1"/>
    <col min="6" max="6" width="20.7109375" style="4" customWidth="1"/>
    <col min="7" max="7" width="20" style="121" customWidth="1"/>
    <col min="8" max="8" width="19.7109375" style="4" customWidth="1"/>
    <col min="9" max="9" width="17.5703125" bestFit="1" customWidth="1"/>
    <col min="10" max="10" width="16.5703125" bestFit="1" customWidth="1"/>
    <col min="12" max="12" width="17.42578125" bestFit="1" customWidth="1"/>
    <col min="13" max="13" width="12.5703125" bestFit="1" customWidth="1"/>
  </cols>
  <sheetData>
    <row r="1" spans="1:12" x14ac:dyDescent="0.2">
      <c r="G1" s="120"/>
    </row>
    <row r="2" spans="1:12" x14ac:dyDescent="0.2">
      <c r="A2" s="1005" t="s">
        <v>534</v>
      </c>
      <c r="B2" s="1005"/>
      <c r="C2" s="1005"/>
      <c r="D2" s="1005"/>
      <c r="E2" s="1005"/>
      <c r="F2" s="1005"/>
      <c r="G2" s="1005"/>
      <c r="H2" s="1005"/>
    </row>
    <row r="3" spans="1:12" ht="35.25" customHeight="1" x14ac:dyDescent="0.2">
      <c r="A3" s="1005"/>
      <c r="B3" s="1005"/>
      <c r="C3" s="1005"/>
      <c r="D3" s="1005"/>
      <c r="E3" s="1005"/>
      <c r="F3" s="1005"/>
      <c r="G3" s="1005"/>
      <c r="H3" s="1005"/>
    </row>
    <row r="4" spans="1:12" x14ac:dyDescent="0.2">
      <c r="A4" s="10"/>
      <c r="B4" s="10"/>
      <c r="D4" s="10"/>
    </row>
    <row r="5" spans="1:12" ht="13.5" thickBot="1" x14ac:dyDescent="0.25">
      <c r="G5" s="1006" t="s">
        <v>305</v>
      </c>
      <c r="H5" s="1006"/>
    </row>
    <row r="6" spans="1:12" ht="13.15" customHeight="1" x14ac:dyDescent="0.2">
      <c r="A6" s="1007" t="s">
        <v>323</v>
      </c>
      <c r="B6" s="1010" t="s">
        <v>535</v>
      </c>
      <c r="C6" s="1010" t="s">
        <v>536</v>
      </c>
      <c r="D6" s="1010" t="s">
        <v>537</v>
      </c>
      <c r="E6" s="1007" t="s">
        <v>1</v>
      </c>
      <c r="F6" s="1010" t="s">
        <v>535</v>
      </c>
      <c r="G6" s="1010" t="s">
        <v>536</v>
      </c>
      <c r="H6" s="1010" t="s">
        <v>537</v>
      </c>
    </row>
    <row r="7" spans="1:12" x14ac:dyDescent="0.2">
      <c r="A7" s="1008"/>
      <c r="B7" s="1011"/>
      <c r="C7" s="1011"/>
      <c r="D7" s="1011"/>
      <c r="E7" s="1008"/>
      <c r="F7" s="1011"/>
      <c r="G7" s="1011"/>
      <c r="H7" s="1011"/>
    </row>
    <row r="8" spans="1:12" ht="13.5" thickBot="1" x14ac:dyDescent="0.25">
      <c r="A8" s="1009"/>
      <c r="B8" s="1012"/>
      <c r="C8" s="1012"/>
      <c r="D8" s="1012"/>
      <c r="E8" s="1009"/>
      <c r="F8" s="1012"/>
      <c r="G8" s="1012"/>
      <c r="H8" s="1012"/>
    </row>
    <row r="9" spans="1:12" ht="25.5" x14ac:dyDescent="0.2">
      <c r="A9" s="318" t="s">
        <v>155</v>
      </c>
      <c r="B9" s="214">
        <v>502698910</v>
      </c>
      <c r="C9" s="214">
        <f>'Mérleg 22. m.'!E47</f>
        <v>603227355</v>
      </c>
      <c r="D9" s="218">
        <f>'Működési kiadások 19.'!F7</f>
        <v>650396391</v>
      </c>
      <c r="E9" s="221" t="s">
        <v>118</v>
      </c>
      <c r="F9" s="593">
        <v>727938986</v>
      </c>
      <c r="G9" s="593">
        <f>'Mérleg 22. m.'!E6</f>
        <v>845812590</v>
      </c>
      <c r="H9" s="386">
        <f>'Mérleg 22. m.'!F6</f>
        <v>754467396</v>
      </c>
      <c r="I9" s="490"/>
      <c r="L9" s="98"/>
    </row>
    <row r="10" spans="1:12" ht="25.5" x14ac:dyDescent="0.2">
      <c r="A10" s="319" t="s">
        <v>173</v>
      </c>
      <c r="B10" s="213">
        <v>48329066</v>
      </c>
      <c r="C10" s="213">
        <f>'Mérleg 22. m.'!E50</f>
        <v>55094551</v>
      </c>
      <c r="D10" s="219">
        <f>'Működési kiadások 19.'!F12</f>
        <v>64228508</v>
      </c>
      <c r="E10" s="222" t="s">
        <v>189</v>
      </c>
      <c r="F10" s="622">
        <v>59763216</v>
      </c>
      <c r="G10" s="594">
        <f>'Mérleg 22. m.'!E21</f>
        <v>135920173</v>
      </c>
      <c r="H10" s="387">
        <f>'Mérleg 22. m.'!F21-2551155</f>
        <v>133369845</v>
      </c>
      <c r="I10" s="490"/>
      <c r="L10" s="98"/>
    </row>
    <row r="11" spans="1:12" ht="25.5" customHeight="1" x14ac:dyDescent="0.2">
      <c r="A11" s="320" t="s">
        <v>157</v>
      </c>
      <c r="B11" s="213">
        <v>293804127</v>
      </c>
      <c r="C11" s="213">
        <f>'Mérleg 22. m.'!E51</f>
        <v>253626304</v>
      </c>
      <c r="D11" s="219">
        <f>'Működési kiadások 19.'!F13</f>
        <v>300964113</v>
      </c>
      <c r="E11" s="223" t="s">
        <v>116</v>
      </c>
      <c r="F11" s="594">
        <v>105249242</v>
      </c>
      <c r="G11" s="594">
        <f>'Mérleg 22. m.'!E30</f>
        <v>151509180</v>
      </c>
      <c r="H11" s="387">
        <f>'Mérleg 22. m.'!F30-63012552</f>
        <v>80799448</v>
      </c>
      <c r="I11" s="490"/>
      <c r="L11" s="98"/>
    </row>
    <row r="12" spans="1:12" ht="14.25" customHeight="1" x14ac:dyDescent="0.2">
      <c r="A12" s="320" t="s">
        <v>158</v>
      </c>
      <c r="B12" s="213">
        <v>14971447</v>
      </c>
      <c r="C12" s="213">
        <f>'Mérleg 22. m.'!E52</f>
        <v>19931566</v>
      </c>
      <c r="D12" s="219">
        <f>'Működési kiadások 19.'!F14</f>
        <v>19763000</v>
      </c>
      <c r="E12" s="217" t="s">
        <v>135</v>
      </c>
      <c r="F12" s="594">
        <v>3131399</v>
      </c>
      <c r="G12" s="594">
        <f>'Mérleg 22. m.'!E32</f>
        <v>1982105</v>
      </c>
      <c r="H12" s="387">
        <f>'Mérleg 22. m.'!F32</f>
        <v>21755816</v>
      </c>
      <c r="I12" s="489"/>
      <c r="J12" s="1"/>
      <c r="K12" s="153"/>
      <c r="L12" s="98"/>
    </row>
    <row r="13" spans="1:12" x14ac:dyDescent="0.2">
      <c r="A13" s="320" t="s">
        <v>175</v>
      </c>
      <c r="B13" s="213">
        <v>124070026</v>
      </c>
      <c r="C13" s="213">
        <f>'Mérleg 22. m.'!E53</f>
        <v>93412849</v>
      </c>
      <c r="D13" s="219">
        <f>'Működési kiadások 19.'!C15</f>
        <v>109181816</v>
      </c>
      <c r="E13" s="222" t="s">
        <v>190</v>
      </c>
      <c r="F13" s="594">
        <v>105812288</v>
      </c>
      <c r="G13" s="387">
        <f>SUM(G14:G16)</f>
        <v>256330087</v>
      </c>
      <c r="H13" s="387">
        <f>SUM(H14:H16)</f>
        <v>297557203</v>
      </c>
    </row>
    <row r="14" spans="1:12" x14ac:dyDescent="0.2">
      <c r="A14" s="320" t="s">
        <v>176</v>
      </c>
      <c r="B14" s="213"/>
      <c r="C14" s="213"/>
      <c r="D14" s="219">
        <f>'Működési kiadások 19.'!F28</f>
        <v>38755816</v>
      </c>
      <c r="E14" s="223" t="s">
        <v>298</v>
      </c>
      <c r="F14" s="594">
        <v>105230065</v>
      </c>
      <c r="G14" s="594">
        <f>'Bevétel 2.melléklet'!H42</f>
        <v>58332136</v>
      </c>
      <c r="H14" s="215">
        <f>'Bevétel 2.melléklet'!I42</f>
        <v>52341113</v>
      </c>
      <c r="I14" s="491"/>
      <c r="K14" s="2"/>
    </row>
    <row r="15" spans="1:12" x14ac:dyDescent="0.2">
      <c r="A15" s="671"/>
      <c r="B15" s="672"/>
      <c r="C15" s="673"/>
      <c r="D15" s="674"/>
      <c r="E15" s="675" t="s">
        <v>571</v>
      </c>
      <c r="F15" s="676"/>
      <c r="G15" s="676">
        <f>'Mérleg 22. m.'!E41</f>
        <v>197997951</v>
      </c>
      <c r="H15" s="676">
        <f>'Mérleg 22. m.'!F41</f>
        <v>245216090</v>
      </c>
      <c r="I15" s="491"/>
      <c r="K15" s="2"/>
    </row>
    <row r="16" spans="1:12" x14ac:dyDescent="0.2">
      <c r="A16" s="671" t="s">
        <v>500</v>
      </c>
      <c r="B16" s="672"/>
      <c r="C16" s="673">
        <f>'Kiadások 11. m.'!H17</f>
        <v>197997951</v>
      </c>
      <c r="D16" s="673">
        <f>'Kiadások 11. m.'!I17</f>
        <v>245216090</v>
      </c>
      <c r="E16" s="675" t="s">
        <v>412</v>
      </c>
      <c r="F16" s="676">
        <v>582223</v>
      </c>
      <c r="G16" s="676">
        <v>0</v>
      </c>
      <c r="H16" s="677">
        <v>0</v>
      </c>
      <c r="I16" s="491"/>
      <c r="K16" s="2"/>
    </row>
    <row r="17" spans="1:13" ht="15.75" customHeight="1" thickBot="1" x14ac:dyDescent="0.25">
      <c r="A17" s="321" t="s">
        <v>169</v>
      </c>
      <c r="B17" s="317">
        <v>13509730</v>
      </c>
      <c r="C17" s="216">
        <f>'Mérleg 22. m.'!E61</f>
        <v>212113165</v>
      </c>
      <c r="D17" s="220">
        <f>'Működési kiadások 19.'!F31</f>
        <v>12274215</v>
      </c>
      <c r="E17" s="224" t="s">
        <v>299</v>
      </c>
      <c r="F17" s="595">
        <v>13450954</v>
      </c>
      <c r="G17" s="595">
        <f>'Mérleg 22. m.'!E40</f>
        <v>14097937</v>
      </c>
      <c r="H17" s="225">
        <f>'Mérleg 22. m.'!F40</f>
        <v>12274215</v>
      </c>
      <c r="L17" s="452"/>
    </row>
    <row r="18" spans="1:13" ht="15.75" customHeight="1" thickBot="1" x14ac:dyDescent="0.25">
      <c r="A18" s="13" t="s">
        <v>17</v>
      </c>
      <c r="B18" s="381">
        <f>SUM(B9+B10+B11+B12+B13+B17)</f>
        <v>997383306</v>
      </c>
      <c r="C18" s="381">
        <f>SUM(C9+C10+C11+C12+C13+C17)</f>
        <v>1237405790</v>
      </c>
      <c r="D18" s="381">
        <f>SUM(D9+D10+D11+D12+D13+D17+D16)</f>
        <v>1402024133</v>
      </c>
      <c r="E18" s="761" t="s">
        <v>18</v>
      </c>
      <c r="F18" s="762">
        <f>F9+F10+F11+F12+F13+F17</f>
        <v>1015346085</v>
      </c>
      <c r="G18" s="762">
        <f>G9+G10+G11+G12+G13+G17</f>
        <v>1405652072</v>
      </c>
      <c r="H18" s="762">
        <f t="shared" ref="H18" si="0">H9+H10+H11+H12+H13+H17</f>
        <v>1300223923</v>
      </c>
      <c r="I18" s="98"/>
      <c r="J18" s="452"/>
      <c r="L18" s="98"/>
      <c r="M18" s="98"/>
    </row>
    <row r="19" spans="1:13" ht="13.15" customHeight="1" x14ac:dyDescent="0.35">
      <c r="A19" s="1000"/>
      <c r="B19" s="1001"/>
      <c r="C19" s="1001"/>
      <c r="D19" s="1001"/>
      <c r="E19" s="1004"/>
      <c r="F19" s="746"/>
      <c r="G19" s="746"/>
      <c r="H19" s="747"/>
      <c r="I19" s="452"/>
      <c r="J19" s="98"/>
      <c r="L19" s="452"/>
    </row>
    <row r="20" spans="1:13" ht="13.9" customHeight="1" thickBot="1" x14ac:dyDescent="0.4">
      <c r="A20" s="1002"/>
      <c r="B20" s="1003"/>
      <c r="C20" s="1003"/>
      <c r="D20" s="1003"/>
      <c r="E20" s="1004"/>
      <c r="F20" s="746"/>
      <c r="G20" s="746"/>
      <c r="H20" s="747"/>
      <c r="J20" s="98"/>
      <c r="L20" s="98"/>
    </row>
    <row r="21" spans="1:13" ht="48.75" customHeight="1" thickBot="1" x14ac:dyDescent="0.25">
      <c r="A21" s="743" t="s">
        <v>19</v>
      </c>
      <c r="B21" s="744" t="s">
        <v>535</v>
      </c>
      <c r="C21" s="744" t="s">
        <v>536</v>
      </c>
      <c r="D21" s="745" t="s">
        <v>537</v>
      </c>
      <c r="E21" s="748" t="s">
        <v>20</v>
      </c>
      <c r="F21" s="744" t="s">
        <v>535</v>
      </c>
      <c r="G21" s="744" t="s">
        <v>536</v>
      </c>
      <c r="H21" s="745" t="s">
        <v>537</v>
      </c>
      <c r="J21" s="98"/>
    </row>
    <row r="22" spans="1:13" ht="41.25" customHeight="1" x14ac:dyDescent="0.2">
      <c r="A22" s="749"/>
      <c r="B22" s="214"/>
      <c r="C22" s="214"/>
      <c r="D22" s="750"/>
      <c r="E22" s="754" t="s">
        <v>124</v>
      </c>
      <c r="F22" s="593">
        <v>247102518</v>
      </c>
      <c r="G22" s="593">
        <f>'Mérleg 22. m.'!E17</f>
        <v>123473215</v>
      </c>
      <c r="H22" s="755">
        <f>'Mérleg 22. m.'!F17</f>
        <v>200883155</v>
      </c>
      <c r="J22" s="98"/>
      <c r="L22" s="98"/>
      <c r="M22" s="98"/>
    </row>
    <row r="23" spans="1:13" ht="27" customHeight="1" x14ac:dyDescent="0.2">
      <c r="A23" s="376"/>
      <c r="B23" s="377"/>
      <c r="C23" s="377"/>
      <c r="D23" s="751"/>
      <c r="E23" s="222" t="s">
        <v>189</v>
      </c>
      <c r="F23" s="594"/>
      <c r="G23" s="594"/>
      <c r="H23" s="725">
        <v>2551155</v>
      </c>
      <c r="J23" s="452">
        <f>D30-H30</f>
        <v>0</v>
      </c>
      <c r="L23" s="98"/>
      <c r="M23" s="98"/>
    </row>
    <row r="24" spans="1:13" x14ac:dyDescent="0.2">
      <c r="A24" s="376"/>
      <c r="B24" s="377"/>
      <c r="C24" s="377"/>
      <c r="D24" s="751"/>
      <c r="E24" s="223" t="s">
        <v>116</v>
      </c>
      <c r="F24" s="594"/>
      <c r="G24" s="594"/>
      <c r="H24" s="725">
        <f>40428300+20584252+2000000</f>
        <v>63012552</v>
      </c>
      <c r="J24" s="452"/>
      <c r="M24" s="98"/>
    </row>
    <row r="25" spans="1:13" x14ac:dyDescent="0.2">
      <c r="A25" s="376"/>
      <c r="B25" s="213"/>
      <c r="C25" s="213"/>
      <c r="D25" s="215"/>
      <c r="E25" s="222" t="s">
        <v>138</v>
      </c>
      <c r="F25" s="594">
        <v>63751496</v>
      </c>
      <c r="G25" s="594">
        <f>'Mérleg 22. m.'!E31</f>
        <v>6341510</v>
      </c>
      <c r="H25" s="756">
        <f>'Mérleg 22. m.'!F31</f>
        <v>1539000</v>
      </c>
      <c r="J25" s="452"/>
      <c r="M25" s="98"/>
    </row>
    <row r="26" spans="1:13" x14ac:dyDescent="0.2">
      <c r="A26" s="217" t="s">
        <v>159</v>
      </c>
      <c r="B26" s="213">
        <v>150163050</v>
      </c>
      <c r="C26" s="213">
        <f>'Mérleg 22. m.'!E57</f>
        <v>80540788</v>
      </c>
      <c r="D26" s="215">
        <f>'Felhalmozás 20.'!D35</f>
        <v>336587519</v>
      </c>
      <c r="E26" s="222" t="s">
        <v>126</v>
      </c>
      <c r="F26" s="594">
        <v>742450</v>
      </c>
      <c r="G26" s="594"/>
      <c r="H26" s="725">
        <f>'Mérleg 22. m.'!F33</f>
        <v>0</v>
      </c>
      <c r="J26" s="452"/>
    </row>
    <row r="27" spans="1:13" ht="25.5" x14ac:dyDescent="0.2">
      <c r="A27" s="217" t="s">
        <v>160</v>
      </c>
      <c r="B27" s="213">
        <v>151768214</v>
      </c>
      <c r="C27" s="213">
        <f>'Mérleg 22. m.'!E58</f>
        <v>4429342</v>
      </c>
      <c r="D27" s="215">
        <f>'Felhalmozás 20.'!D8</f>
        <v>2000000</v>
      </c>
      <c r="E27" s="223" t="s">
        <v>191</v>
      </c>
      <c r="F27" s="594">
        <f>F28+F29</f>
        <v>100752231</v>
      </c>
      <c r="G27" s="594">
        <f>G28+G29</f>
        <v>93908057</v>
      </c>
      <c r="H27" s="725">
        <f>SUM(H28:H29)</f>
        <v>122705020</v>
      </c>
      <c r="J27" s="452"/>
    </row>
    <row r="28" spans="1:13" x14ac:dyDescent="0.2">
      <c r="A28" s="217" t="s">
        <v>161</v>
      </c>
      <c r="B28" s="213"/>
      <c r="C28" s="213">
        <f>'Mérleg 22. m.'!E59</f>
        <v>16724363</v>
      </c>
      <c r="D28" s="215"/>
      <c r="E28" s="222" t="s">
        <v>316</v>
      </c>
      <c r="F28" s="594"/>
      <c r="G28" s="594">
        <v>0</v>
      </c>
      <c r="H28" s="725">
        <f>'Mérleg 22. m.'!F38</f>
        <v>0</v>
      </c>
      <c r="J28" s="452"/>
    </row>
    <row r="29" spans="1:13" ht="13.5" thickBot="1" x14ac:dyDescent="0.25">
      <c r="A29" s="752" t="s">
        <v>169</v>
      </c>
      <c r="B29" s="216">
        <v>18574565</v>
      </c>
      <c r="C29" s="216">
        <f>'Mérleg 22. m.'!E64</f>
        <v>122028289</v>
      </c>
      <c r="D29" s="753">
        <f>'Kiadások 11. m.'!I23</f>
        <v>52103363</v>
      </c>
      <c r="E29" s="379" t="s">
        <v>297</v>
      </c>
      <c r="F29" s="595">
        <v>100752231</v>
      </c>
      <c r="G29" s="595">
        <f>'Bevétel 2.melléklet'!H43</f>
        <v>93908057</v>
      </c>
      <c r="H29" s="726">
        <f>'Bevétel 2.melléklet'!I43</f>
        <v>122705020</v>
      </c>
      <c r="J29" s="452"/>
    </row>
    <row r="30" spans="1:13" ht="15" customHeight="1" thickBot="1" x14ac:dyDescent="0.25">
      <c r="A30" s="380" t="s">
        <v>21</v>
      </c>
      <c r="B30" s="378">
        <f>SUM(B21:B29)</f>
        <v>320505829</v>
      </c>
      <c r="C30" s="633">
        <f>SUM(C21:C29)</f>
        <v>223722782</v>
      </c>
      <c r="D30" s="378">
        <f>SUM(D21:D29)</f>
        <v>390690882</v>
      </c>
      <c r="E30" s="757" t="s">
        <v>22</v>
      </c>
      <c r="F30" s="758">
        <f>SUM(F22:F27)</f>
        <v>412348695</v>
      </c>
      <c r="G30" s="758">
        <f>SUM(G22:G27)</f>
        <v>223722782</v>
      </c>
      <c r="H30" s="759">
        <f>SUM(H22:H27)</f>
        <v>390690882</v>
      </c>
      <c r="I30" s="98"/>
      <c r="J30" s="452"/>
    </row>
    <row r="31" spans="1:13" ht="31.15" customHeight="1" thickBot="1" x14ac:dyDescent="0.4">
      <c r="A31" s="1000"/>
      <c r="B31" s="1001"/>
      <c r="C31" s="1001"/>
      <c r="D31" s="1001"/>
      <c r="E31" s="760"/>
      <c r="F31" s="746"/>
      <c r="G31" s="889"/>
      <c r="H31" s="747"/>
      <c r="J31" s="452"/>
    </row>
    <row r="32" spans="1:13" ht="13.5" thickBot="1" x14ac:dyDescent="0.25">
      <c r="A32" s="763" t="s">
        <v>23</v>
      </c>
      <c r="B32" s="762">
        <f>B18+B30</f>
        <v>1317889135</v>
      </c>
      <c r="C32" s="762">
        <f>C18+C30</f>
        <v>1461128572</v>
      </c>
      <c r="D32" s="762">
        <f>D18+D30</f>
        <v>1792715015</v>
      </c>
      <c r="E32" s="761" t="s">
        <v>23</v>
      </c>
      <c r="F32" s="762">
        <f>F18+F30</f>
        <v>1427694780</v>
      </c>
      <c r="G32" s="762">
        <f>G18+G30</f>
        <v>1629374854</v>
      </c>
      <c r="H32" s="762">
        <f>H18+H30</f>
        <v>1690914805</v>
      </c>
      <c r="I32" s="98"/>
      <c r="J32" s="452"/>
    </row>
    <row r="33" spans="2:10" ht="27" customHeight="1" thickBot="1" x14ac:dyDescent="0.25">
      <c r="G33" s="488"/>
      <c r="H33" s="96"/>
      <c r="J33" s="452"/>
    </row>
    <row r="34" spans="2:10" ht="13.5" thickBot="1" x14ac:dyDescent="0.25">
      <c r="B34" s="543"/>
      <c r="C34" s="7"/>
      <c r="D34" s="764" t="s">
        <v>470</v>
      </c>
      <c r="E34" s="765">
        <f>D32-H32</f>
        <v>101800210</v>
      </c>
      <c r="F34" s="96"/>
      <c r="G34" s="96"/>
      <c r="H34" s="7"/>
      <c r="J34" s="452"/>
    </row>
    <row r="35" spans="2:10" x14ac:dyDescent="0.2">
      <c r="C35" s="543"/>
      <c r="D35" s="96"/>
      <c r="E35" s="543"/>
      <c r="G35" s="488"/>
      <c r="H35" s="543"/>
    </row>
    <row r="36" spans="2:10" x14ac:dyDescent="0.2">
      <c r="D36" s="96"/>
      <c r="F36" s="543"/>
    </row>
    <row r="37" spans="2:10" x14ac:dyDescent="0.2">
      <c r="D37" s="96"/>
    </row>
    <row r="38" spans="2:10" x14ac:dyDescent="0.2">
      <c r="D38" s="96"/>
    </row>
  </sheetData>
  <mergeCells count="13">
    <mergeCell ref="A19:D20"/>
    <mergeCell ref="E19:E20"/>
    <mergeCell ref="A31:D31"/>
    <mergeCell ref="A2:H3"/>
    <mergeCell ref="G5:H5"/>
    <mergeCell ref="A6:A8"/>
    <mergeCell ref="B6:B8"/>
    <mergeCell ref="C6:C8"/>
    <mergeCell ref="D6:D8"/>
    <mergeCell ref="E6:E8"/>
    <mergeCell ref="F6:F8"/>
    <mergeCell ref="G6:G8"/>
    <mergeCell ref="H6:H8"/>
  </mergeCells>
  <pageMargins left="0.78740157480314965" right="0.19685039370078741" top="0.98425196850393704" bottom="0.98425196850393704" header="0.51181102362204722" footer="0.51181102362204722"/>
  <pageSetup paperSize="9" scale="69" orientation="landscape" r:id="rId1"/>
  <headerFooter alignWithMargins="0">
    <oddHeader>&amp;R25. sz. melléklet
.../2025.(II.13.) Egyek Önk.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S17"/>
  <sheetViews>
    <sheetView zoomScaleNormal="100" workbookViewId="0">
      <selection activeCell="L13" sqref="L13"/>
    </sheetView>
  </sheetViews>
  <sheetFormatPr defaultRowHeight="12.75" x14ac:dyDescent="0.2"/>
  <cols>
    <col min="8" max="8" width="20" customWidth="1"/>
  </cols>
  <sheetData>
    <row r="1" spans="1:19" ht="20.25" x14ac:dyDescent="0.3">
      <c r="A1" s="1016" t="s">
        <v>76</v>
      </c>
      <c r="B1" s="1016"/>
      <c r="C1" s="1016"/>
      <c r="D1" s="1016"/>
      <c r="E1" s="1016"/>
      <c r="F1" s="1016"/>
      <c r="G1" s="1016"/>
      <c r="H1" s="1016"/>
      <c r="I1" s="1016"/>
      <c r="L1" s="72"/>
      <c r="M1" s="2"/>
      <c r="N1" s="2"/>
      <c r="O1" s="2"/>
      <c r="P1" s="2"/>
      <c r="Q1" s="2"/>
      <c r="R1" s="2"/>
      <c r="S1" s="72"/>
    </row>
    <row r="2" spans="1:19" ht="15.75" x14ac:dyDescent="0.25">
      <c r="A2" s="70"/>
      <c r="B2" s="70"/>
      <c r="C2" s="70"/>
      <c r="D2" s="70"/>
      <c r="E2" s="70"/>
      <c r="F2" s="70"/>
      <c r="G2" s="70"/>
      <c r="H2" s="70"/>
      <c r="I2" s="70"/>
      <c r="L2" s="72"/>
      <c r="M2" s="2"/>
      <c r="N2" s="2"/>
      <c r="O2" s="1014"/>
      <c r="P2" s="1014"/>
      <c r="Q2" s="1014"/>
      <c r="R2" s="1014"/>
      <c r="S2" s="73"/>
    </row>
    <row r="3" spans="1:19" ht="15.75" x14ac:dyDescent="0.25">
      <c r="E3" s="971"/>
      <c r="F3" s="971"/>
      <c r="L3" s="183"/>
      <c r="M3" s="182"/>
      <c r="N3" s="182"/>
      <c r="O3" s="1015"/>
      <c r="P3" s="1015"/>
      <c r="Q3" s="1015"/>
      <c r="R3" s="1015"/>
      <c r="S3" s="181"/>
    </row>
    <row r="4" spans="1:19" ht="15.75" x14ac:dyDescent="0.25">
      <c r="A4" s="971" t="s">
        <v>538</v>
      </c>
      <c r="B4" s="971"/>
      <c r="C4" s="971"/>
      <c r="D4" s="971"/>
      <c r="E4" s="971"/>
      <c r="F4" s="971"/>
      <c r="G4" s="971"/>
      <c r="H4" s="971"/>
      <c r="I4" s="971"/>
    </row>
    <row r="5" spans="1:19" ht="15.75" x14ac:dyDescent="0.25">
      <c r="A5" s="971" t="s">
        <v>77</v>
      </c>
      <c r="B5" s="971"/>
      <c r="C5" s="971"/>
      <c r="D5" s="971"/>
      <c r="E5" s="971"/>
      <c r="F5" s="971"/>
      <c r="G5" s="971"/>
      <c r="H5" s="971"/>
      <c r="I5" s="971"/>
    </row>
    <row r="11" spans="1:19" x14ac:dyDescent="0.2">
      <c r="H11" s="199" t="s">
        <v>303</v>
      </c>
    </row>
    <row r="12" spans="1:19" x14ac:dyDescent="0.2">
      <c r="A12" s="71"/>
      <c r="B12" s="71"/>
      <c r="C12" s="73"/>
      <c r="D12" s="124"/>
      <c r="E12" s="124"/>
      <c r="F12" s="124"/>
      <c r="G12" s="124"/>
      <c r="H12" s="71"/>
      <c r="I12" s="2"/>
    </row>
    <row r="13" spans="1:19" ht="32.25" customHeight="1" x14ac:dyDescent="0.3">
      <c r="A13" s="1013" t="s">
        <v>78</v>
      </c>
      <c r="B13" s="1013"/>
      <c r="C13" s="1013"/>
      <c r="D13" s="1013"/>
      <c r="E13" s="74"/>
      <c r="F13" s="74"/>
      <c r="G13" s="74"/>
      <c r="H13" s="74">
        <v>38755816</v>
      </c>
      <c r="I13" s="2"/>
    </row>
    <row r="14" spans="1:19" ht="15.75" customHeight="1" x14ac:dyDescent="0.2">
      <c r="A14" s="183"/>
      <c r="B14" s="182"/>
      <c r="C14" s="182"/>
      <c r="I14" s="2"/>
    </row>
    <row r="15" spans="1:19" ht="36.75" customHeight="1" x14ac:dyDescent="0.2">
      <c r="A15" s="183"/>
      <c r="B15" s="182"/>
      <c r="C15" s="182"/>
      <c r="I15" s="2"/>
    </row>
    <row r="16" spans="1:19" ht="22.5" customHeight="1" x14ac:dyDescent="0.25">
      <c r="A16" s="72"/>
      <c r="B16" s="2"/>
      <c r="C16" s="2"/>
      <c r="I16" s="2"/>
    </row>
    <row r="17" spans="9:9" ht="39.75" customHeight="1" x14ac:dyDescent="0.2">
      <c r="I17" s="2"/>
    </row>
  </sheetData>
  <mergeCells count="7">
    <mergeCell ref="A13:D13"/>
    <mergeCell ref="E3:F3"/>
    <mergeCell ref="O2:R2"/>
    <mergeCell ref="O3:R3"/>
    <mergeCell ref="A1:I1"/>
    <mergeCell ref="A4:I4"/>
    <mergeCell ref="A5:I5"/>
  </mergeCells>
  <phoneticPr fontId="38" type="noConversion"/>
  <pageMargins left="0.75" right="0.75" top="1" bottom="1" header="0.5" footer="0.5"/>
  <pageSetup paperSize="9" orientation="portrait" r:id="rId1"/>
  <headerFooter alignWithMargins="0">
    <oddHeader>&amp;R26. sz. melléklet
..../2025.(II.13.) Egyek Önk.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zoomScaleNormal="100" workbookViewId="0">
      <selection activeCell="D12" sqref="D12"/>
    </sheetView>
  </sheetViews>
  <sheetFormatPr defaultRowHeight="12.75" x14ac:dyDescent="0.2"/>
  <cols>
    <col min="4" max="4" width="23.5703125" customWidth="1"/>
    <col min="6" max="6" width="15.28515625" customWidth="1"/>
    <col min="8" max="8" width="11" customWidth="1"/>
    <col min="10" max="10" width="18.28515625" customWidth="1"/>
  </cols>
  <sheetData>
    <row r="1" spans="1:14" ht="38.25" customHeight="1" x14ac:dyDescent="0.2">
      <c r="A1" s="1017" t="s">
        <v>539</v>
      </c>
      <c r="B1" s="1017"/>
      <c r="C1" s="1017"/>
      <c r="D1" s="1017"/>
      <c r="E1" s="1017"/>
      <c r="F1" s="1017"/>
      <c r="G1" s="1017"/>
      <c r="H1" s="1017"/>
      <c r="I1" s="1017"/>
      <c r="J1" s="1017"/>
    </row>
    <row r="2" spans="1:14" ht="15.75" x14ac:dyDescent="0.25">
      <c r="A2" s="75"/>
      <c r="B2" s="75"/>
      <c r="C2" s="75"/>
      <c r="D2" s="75"/>
      <c r="E2" s="75"/>
      <c r="F2" s="75"/>
      <c r="G2" s="75"/>
      <c r="H2" s="75"/>
      <c r="I2" s="75"/>
      <c r="J2" s="76"/>
    </row>
    <row r="3" spans="1:14" ht="15" x14ac:dyDescent="0.2">
      <c r="A3" s="76"/>
      <c r="B3" s="76"/>
      <c r="C3" s="76"/>
      <c r="D3" s="76"/>
      <c r="E3" s="76"/>
      <c r="F3" s="76"/>
      <c r="G3" s="76"/>
      <c r="H3" s="76"/>
      <c r="I3" s="76"/>
      <c r="J3" s="76"/>
    </row>
    <row r="4" spans="1:14" ht="15.75" thickBot="1" x14ac:dyDescent="0.25">
      <c r="A4" s="76"/>
      <c r="B4" s="76"/>
      <c r="C4" s="76"/>
      <c r="D4" s="76"/>
      <c r="E4" s="76"/>
      <c r="F4" s="76"/>
      <c r="G4" s="1018" t="s">
        <v>75</v>
      </c>
      <c r="H4" s="1018"/>
      <c r="I4" s="1018"/>
      <c r="J4" s="1018"/>
    </row>
    <row r="5" spans="1:14" ht="16.5" thickBot="1" x14ac:dyDescent="0.3">
      <c r="A5" s="1019" t="s">
        <v>0</v>
      </c>
      <c r="B5" s="1020"/>
      <c r="C5" s="1020"/>
      <c r="D5" s="1021"/>
      <c r="E5" s="1025" t="s">
        <v>37</v>
      </c>
      <c r="F5" s="1026"/>
      <c r="G5" s="1026"/>
      <c r="H5" s="1026"/>
      <c r="I5" s="1026"/>
      <c r="J5" s="1027"/>
    </row>
    <row r="6" spans="1:14" ht="16.5" thickBot="1" x14ac:dyDescent="0.3">
      <c r="A6" s="1022"/>
      <c r="B6" s="1023"/>
      <c r="C6" s="1023"/>
      <c r="D6" s="1024"/>
      <c r="E6" s="1028" t="s">
        <v>79</v>
      </c>
      <c r="F6" s="1029"/>
      <c r="G6" s="1030" t="s">
        <v>80</v>
      </c>
      <c r="H6" s="1031"/>
      <c r="I6" s="1032" t="s">
        <v>336</v>
      </c>
      <c r="J6" s="1033"/>
    </row>
    <row r="7" spans="1:14" ht="37.5" customHeight="1" thickBot="1" x14ac:dyDescent="0.25">
      <c r="A7" s="1034" t="s">
        <v>469</v>
      </c>
      <c r="B7" s="1035"/>
      <c r="C7" s="1035"/>
      <c r="D7" s="1036"/>
      <c r="E7" s="1037">
        <v>200064917</v>
      </c>
      <c r="F7" s="1038"/>
      <c r="G7" s="1037">
        <v>200064917</v>
      </c>
      <c r="H7" s="1038"/>
      <c r="I7" s="1037">
        <f t="shared" ref="I7" si="0">G7-E7</f>
        <v>0</v>
      </c>
      <c r="J7" s="1038"/>
      <c r="M7" s="554"/>
      <c r="N7" s="306"/>
    </row>
    <row r="8" spans="1:14" ht="37.5" customHeight="1" thickBot="1" x14ac:dyDescent="0.25">
      <c r="A8" s="1039" t="s">
        <v>24</v>
      </c>
      <c r="B8" s="1040"/>
      <c r="C8" s="1040"/>
      <c r="D8" s="1041"/>
      <c r="E8" s="1042">
        <f>SUM(E7)</f>
        <v>200064917</v>
      </c>
      <c r="F8" s="1043"/>
      <c r="G8" s="1042">
        <f t="shared" ref="G8" si="1">SUM(G7)</f>
        <v>200064917</v>
      </c>
      <c r="H8" s="1043"/>
      <c r="I8" s="1042">
        <f t="shared" ref="I8" si="2">SUM(I7)</f>
        <v>0</v>
      </c>
      <c r="J8" s="1043"/>
    </row>
    <row r="9" spans="1:14" ht="37.5" customHeight="1" x14ac:dyDescent="0.2"/>
    <row r="10" spans="1:14" ht="46.5" customHeight="1" x14ac:dyDescent="0.2">
      <c r="A10" s="722"/>
      <c r="B10" s="722"/>
      <c r="C10" s="722"/>
      <c r="D10" s="722"/>
      <c r="E10" s="722"/>
      <c r="F10" s="722"/>
      <c r="G10" s="722"/>
      <c r="H10" s="722"/>
      <c r="I10" s="722"/>
      <c r="J10" s="722"/>
    </row>
    <row r="11" spans="1:14" ht="46.5" customHeight="1" x14ac:dyDescent="0.2"/>
    <row r="12" spans="1:14" ht="26.25" customHeight="1" x14ac:dyDescent="0.2"/>
    <row r="13" spans="1:14" ht="35.25" customHeight="1" x14ac:dyDescent="0.2"/>
    <row r="14" spans="1:14" ht="29.25" customHeight="1" x14ac:dyDescent="0.2"/>
  </sheetData>
  <mergeCells count="15">
    <mergeCell ref="A7:D7"/>
    <mergeCell ref="E7:F7"/>
    <mergeCell ref="G7:H7"/>
    <mergeCell ref="I7:J7"/>
    <mergeCell ref="A8:D8"/>
    <mergeCell ref="E8:F8"/>
    <mergeCell ref="G8:H8"/>
    <mergeCell ref="I8:J8"/>
    <mergeCell ref="A1:J1"/>
    <mergeCell ref="G4:J4"/>
    <mergeCell ref="A5:D6"/>
    <mergeCell ref="E5:J5"/>
    <mergeCell ref="E6:F6"/>
    <mergeCell ref="G6:H6"/>
    <mergeCell ref="I6:J6"/>
  </mergeCells>
  <pageMargins left="0.75" right="0.75" top="1" bottom="1" header="0.5" footer="0.5"/>
  <pageSetup paperSize="9" orientation="landscape" r:id="rId1"/>
  <headerFooter alignWithMargins="0">
    <oddHeader>&amp;R27. sz. melléket 
..../2025.(II.13.) Egyek Önk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zoomScale="130" zoomScaleNormal="130" workbookViewId="0">
      <selection activeCell="C6" sqref="C6"/>
    </sheetView>
  </sheetViews>
  <sheetFormatPr defaultRowHeight="12.75" x14ac:dyDescent="0.2"/>
  <cols>
    <col min="2" max="2" width="26.85546875" customWidth="1"/>
    <col min="3" max="3" width="16.42578125" customWidth="1"/>
    <col min="4" max="4" width="16.28515625" customWidth="1"/>
    <col min="5" max="5" width="18.5703125" customWidth="1"/>
    <col min="6" max="6" width="16.7109375" customWidth="1"/>
    <col min="7" max="7" width="15.7109375" customWidth="1"/>
    <col min="8" max="8" width="17" customWidth="1"/>
    <col min="9" max="9" width="17.7109375" style="452" customWidth="1"/>
    <col min="10" max="10" width="16.140625" customWidth="1"/>
    <col min="11" max="11" width="16.42578125" customWidth="1"/>
    <col min="12" max="12" width="17" customWidth="1"/>
    <col min="13" max="13" width="16.42578125" customWidth="1"/>
    <col min="14" max="14" width="17" customWidth="1"/>
    <col min="15" max="15" width="12" customWidth="1"/>
    <col min="16" max="16" width="11.140625" customWidth="1"/>
  </cols>
  <sheetData>
    <row r="1" spans="1:16" s="125" customFormat="1" ht="33" customHeight="1" x14ac:dyDescent="0.25">
      <c r="A1" s="1047" t="s">
        <v>102</v>
      </c>
      <c r="B1" s="1047"/>
      <c r="C1" s="1047"/>
      <c r="D1" s="1047"/>
      <c r="E1" s="1047"/>
      <c r="F1" s="1047"/>
      <c r="G1" s="1047"/>
      <c r="I1" s="869"/>
    </row>
    <row r="2" spans="1:16" s="125" customFormat="1" ht="15.95" customHeight="1" thickBot="1" x14ac:dyDescent="0.3">
      <c r="A2" s="175"/>
      <c r="B2" s="175"/>
      <c r="C2" s="1048"/>
      <c r="D2" s="1048"/>
      <c r="E2" s="1049" t="s">
        <v>355</v>
      </c>
      <c r="F2" s="1049"/>
      <c r="G2" s="1049"/>
      <c r="H2" s="127"/>
      <c r="I2" s="869"/>
    </row>
    <row r="3" spans="1:16" s="125" customFormat="1" ht="63" customHeight="1" x14ac:dyDescent="0.25">
      <c r="A3" s="1050" t="s">
        <v>48</v>
      </c>
      <c r="B3" s="1052" t="s">
        <v>105</v>
      </c>
      <c r="C3" s="1054" t="s">
        <v>89</v>
      </c>
      <c r="D3" s="1055"/>
      <c r="E3" s="1055"/>
      <c r="F3" s="1056"/>
      <c r="G3" s="1057" t="s">
        <v>338</v>
      </c>
      <c r="I3" s="869"/>
    </row>
    <row r="4" spans="1:16" s="125" customFormat="1" ht="15" x14ac:dyDescent="0.25">
      <c r="A4" s="1051"/>
      <c r="B4" s="1053"/>
      <c r="C4" s="128" t="s">
        <v>390</v>
      </c>
      <c r="D4" s="128" t="s">
        <v>402</v>
      </c>
      <c r="E4" s="128" t="s">
        <v>471</v>
      </c>
      <c r="F4" s="128" t="s">
        <v>540</v>
      </c>
      <c r="G4" s="1058"/>
      <c r="I4" s="869"/>
    </row>
    <row r="5" spans="1:16" s="125" customFormat="1" ht="15.75" thickBot="1" x14ac:dyDescent="0.3">
      <c r="A5" s="540">
        <v>1</v>
      </c>
      <c r="B5" s="770">
        <v>2</v>
      </c>
      <c r="C5" s="770">
        <v>4</v>
      </c>
      <c r="D5" s="770">
        <v>5</v>
      </c>
      <c r="E5" s="770">
        <v>6</v>
      </c>
      <c r="F5" s="770">
        <v>7</v>
      </c>
      <c r="G5" s="770">
        <v>8</v>
      </c>
      <c r="I5" s="869"/>
    </row>
    <row r="6" spans="1:16" s="125" customFormat="1" ht="65.25" customHeight="1" x14ac:dyDescent="0.25">
      <c r="A6" s="768" t="s">
        <v>2</v>
      </c>
      <c r="B6" s="771" t="s">
        <v>339</v>
      </c>
      <c r="C6" s="542">
        <v>17727864</v>
      </c>
      <c r="D6" s="542">
        <v>5353755</v>
      </c>
      <c r="E6" s="542"/>
      <c r="F6" s="542"/>
      <c r="G6" s="772">
        <f>SUM(C6:F6)</f>
        <v>23081619</v>
      </c>
      <c r="I6" s="869"/>
    </row>
    <row r="7" spans="1:16" s="125" customFormat="1" ht="65.25" customHeight="1" x14ac:dyDescent="0.25">
      <c r="A7" s="768" t="s">
        <v>11</v>
      </c>
      <c r="B7" s="775" t="s">
        <v>340</v>
      </c>
      <c r="C7" s="541">
        <v>402000</v>
      </c>
      <c r="D7" s="541"/>
      <c r="E7" s="541"/>
      <c r="F7" s="541"/>
      <c r="G7" s="774">
        <f t="shared" ref="G7:G13" si="0">SUM(C7:F7)</f>
        <v>402000</v>
      </c>
      <c r="I7" s="869"/>
    </row>
    <row r="8" spans="1:16" s="125" customFormat="1" ht="67.5" customHeight="1" x14ac:dyDescent="0.25">
      <c r="A8" s="768" t="s">
        <v>12</v>
      </c>
      <c r="B8" s="773" t="s">
        <v>271</v>
      </c>
      <c r="C8" s="541">
        <v>142000</v>
      </c>
      <c r="D8" s="541"/>
      <c r="E8" s="767"/>
      <c r="F8" s="541"/>
      <c r="G8" s="774">
        <f>SUM(C8:F8)</f>
        <v>142000</v>
      </c>
      <c r="I8" s="869"/>
    </row>
    <row r="9" spans="1:16" s="125" customFormat="1" ht="67.5" customHeight="1" x14ac:dyDescent="0.25">
      <c r="A9" s="768" t="s">
        <v>8</v>
      </c>
      <c r="B9" s="773" t="s">
        <v>311</v>
      </c>
      <c r="C9" s="541">
        <v>980000</v>
      </c>
      <c r="D9" s="541">
        <v>800485</v>
      </c>
      <c r="E9" s="541"/>
      <c r="F9" s="767"/>
      <c r="G9" s="774">
        <f>SUM(C9:E9)</f>
        <v>1780485</v>
      </c>
      <c r="I9" s="869"/>
    </row>
    <row r="10" spans="1:16" s="125" customFormat="1" ht="54" customHeight="1" x14ac:dyDescent="0.25">
      <c r="A10" s="768" t="s">
        <v>3</v>
      </c>
      <c r="B10" s="773" t="s">
        <v>270</v>
      </c>
      <c r="C10" s="541">
        <v>1197155</v>
      </c>
      <c r="D10" s="541"/>
      <c r="E10" s="767"/>
      <c r="F10" s="541"/>
      <c r="G10" s="774">
        <f t="shared" si="0"/>
        <v>1197155</v>
      </c>
      <c r="I10" s="869"/>
    </row>
    <row r="11" spans="1:16" s="125" customFormat="1" ht="54" customHeight="1" x14ac:dyDescent="0.25">
      <c r="A11" s="768" t="s">
        <v>9</v>
      </c>
      <c r="B11" s="773" t="s">
        <v>556</v>
      </c>
      <c r="C11" s="541">
        <v>18543374</v>
      </c>
      <c r="D11" s="541"/>
      <c r="E11" s="541"/>
      <c r="F11" s="541"/>
      <c r="G11" s="774">
        <f t="shared" si="0"/>
        <v>18543374</v>
      </c>
      <c r="I11" s="869"/>
    </row>
    <row r="12" spans="1:16" s="125" customFormat="1" ht="54" customHeight="1" x14ac:dyDescent="0.25">
      <c r="A12" s="768" t="s">
        <v>25</v>
      </c>
      <c r="B12" s="773" t="s">
        <v>350</v>
      </c>
      <c r="C12" s="541">
        <v>676000</v>
      </c>
      <c r="D12" s="541">
        <v>676000</v>
      </c>
      <c r="E12" s="541">
        <v>676000</v>
      </c>
      <c r="F12" s="541">
        <v>676000</v>
      </c>
      <c r="G12" s="774">
        <f t="shared" si="0"/>
        <v>2704000</v>
      </c>
      <c r="I12" s="869"/>
    </row>
    <row r="13" spans="1:16" s="125" customFormat="1" ht="54" customHeight="1" x14ac:dyDescent="0.25">
      <c r="A13" s="769" t="s">
        <v>15</v>
      </c>
      <c r="B13" s="773" t="s">
        <v>351</v>
      </c>
      <c r="C13" s="541">
        <v>693000</v>
      </c>
      <c r="D13" s="541">
        <v>693000</v>
      </c>
      <c r="E13" s="541">
        <v>693000</v>
      </c>
      <c r="F13" s="541">
        <v>693000</v>
      </c>
      <c r="G13" s="774">
        <f t="shared" si="0"/>
        <v>2772000</v>
      </c>
      <c r="I13" s="869"/>
    </row>
    <row r="14" spans="1:16" s="125" customFormat="1" ht="75.75" customHeight="1" thickBot="1" x14ac:dyDescent="0.3">
      <c r="A14" s="769" t="s">
        <v>61</v>
      </c>
      <c r="B14" s="776" t="s">
        <v>341</v>
      </c>
      <c r="C14" s="541">
        <v>11741970</v>
      </c>
      <c r="D14" s="541"/>
      <c r="E14" s="541"/>
      <c r="F14" s="541"/>
      <c r="G14" s="774"/>
      <c r="I14" s="869"/>
    </row>
    <row r="15" spans="1:16" s="125" customFormat="1" ht="15.75" thickBot="1" x14ac:dyDescent="0.3">
      <c r="A15" s="1070" t="s">
        <v>90</v>
      </c>
      <c r="B15" s="1071"/>
      <c r="C15" s="766">
        <f>SUM(C6:C14)</f>
        <v>52103363</v>
      </c>
      <c r="D15" s="766">
        <f t="shared" ref="D15:G15" si="1">SUM(D6:D14)</f>
        <v>7523240</v>
      </c>
      <c r="E15" s="766">
        <f t="shared" si="1"/>
        <v>1369000</v>
      </c>
      <c r="F15" s="766">
        <f t="shared" si="1"/>
        <v>1369000</v>
      </c>
      <c r="G15" s="766">
        <f t="shared" si="1"/>
        <v>50622633</v>
      </c>
      <c r="H15" s="868"/>
      <c r="I15" s="869"/>
    </row>
    <row r="16" spans="1:16" s="125" customFormat="1" ht="30.75" customHeight="1" x14ac:dyDescent="0.25">
      <c r="A16" s="1059" t="s">
        <v>541</v>
      </c>
      <c r="B16" s="1059"/>
      <c r="C16" s="1059"/>
      <c r="D16" s="1059"/>
      <c r="E16" s="1059"/>
      <c r="F16" s="1059"/>
      <c r="G16" s="1059"/>
      <c r="H16" s="1059"/>
      <c r="I16" s="1059"/>
      <c r="J16" s="1059"/>
      <c r="K16" s="1059"/>
      <c r="L16" s="1059"/>
      <c r="M16" s="1059"/>
      <c r="N16" s="1059"/>
      <c r="O16" s="1059"/>
      <c r="P16" s="1059"/>
    </row>
    <row r="17" spans="1:25" s="125" customFormat="1" ht="15.75" thickBot="1" x14ac:dyDescent="0.3">
      <c r="A17" s="126"/>
      <c r="B17" s="126"/>
      <c r="I17" s="869"/>
      <c r="N17" s="129" t="s">
        <v>88</v>
      </c>
    </row>
    <row r="18" spans="1:25" s="125" customFormat="1" ht="63.75" thickBot="1" x14ac:dyDescent="0.3">
      <c r="A18" s="447" t="s">
        <v>48</v>
      </c>
      <c r="B18" s="1060" t="s">
        <v>100</v>
      </c>
      <c r="C18" s="1061"/>
      <c r="D18" s="1062"/>
      <c r="E18" s="486" t="s">
        <v>262</v>
      </c>
      <c r="F18" s="486" t="s">
        <v>268</v>
      </c>
      <c r="G18" s="486" t="s">
        <v>301</v>
      </c>
      <c r="H18" s="486" t="s">
        <v>318</v>
      </c>
      <c r="I18" s="870" t="s">
        <v>342</v>
      </c>
      <c r="J18" s="486" t="s">
        <v>356</v>
      </c>
      <c r="K18" s="486" t="s">
        <v>397</v>
      </c>
      <c r="L18" s="486" t="s">
        <v>403</v>
      </c>
      <c r="M18" s="486" t="s">
        <v>472</v>
      </c>
      <c r="N18" s="485" t="s">
        <v>542</v>
      </c>
      <c r="O18" s="322"/>
      <c r="P18" s="322"/>
      <c r="Q18" s="322"/>
      <c r="R18" s="322"/>
      <c r="S18" s="322"/>
      <c r="T18" s="322"/>
      <c r="U18" s="322"/>
      <c r="V18" s="322"/>
      <c r="W18" s="322"/>
      <c r="X18" s="322"/>
      <c r="Y18" s="323"/>
    </row>
    <row r="19" spans="1:25" s="125" customFormat="1" ht="16.5" thickBot="1" x14ac:dyDescent="0.3">
      <c r="A19" s="539" t="s">
        <v>2</v>
      </c>
      <c r="B19" s="1063" t="s">
        <v>396</v>
      </c>
      <c r="C19" s="1064"/>
      <c r="D19" s="1065"/>
      <c r="E19" s="723"/>
      <c r="F19" s="632"/>
      <c r="G19" s="632"/>
      <c r="H19" s="632"/>
      <c r="I19" s="632"/>
      <c r="J19" s="632"/>
      <c r="K19" s="632"/>
      <c r="L19" s="632"/>
      <c r="M19" s="632"/>
      <c r="N19" s="632"/>
      <c r="O19" s="322"/>
      <c r="P19" s="322"/>
      <c r="Q19" s="322"/>
      <c r="R19" s="322"/>
      <c r="S19" s="322"/>
      <c r="T19" s="322"/>
      <c r="U19" s="322"/>
      <c r="V19" s="322"/>
      <c r="W19" s="322"/>
      <c r="X19" s="322"/>
      <c r="Y19" s="323"/>
    </row>
    <row r="20" spans="1:25" s="125" customFormat="1" ht="15.75" customHeight="1" thickBot="1" x14ac:dyDescent="0.3">
      <c r="A20" s="544" t="s">
        <v>10</v>
      </c>
      <c r="B20" s="1066" t="s">
        <v>104</v>
      </c>
      <c r="C20" s="1066"/>
      <c r="D20" s="1067"/>
      <c r="E20" s="724">
        <f>SUM(E19)</f>
        <v>0</v>
      </c>
      <c r="F20" s="487">
        <f t="shared" ref="F20:N20" si="2">SUM(F19)</f>
        <v>0</v>
      </c>
      <c r="G20" s="487">
        <f t="shared" si="2"/>
        <v>0</v>
      </c>
      <c r="H20" s="487">
        <f t="shared" si="2"/>
        <v>0</v>
      </c>
      <c r="I20" s="871">
        <f t="shared" si="2"/>
        <v>0</v>
      </c>
      <c r="J20" s="487">
        <f t="shared" si="2"/>
        <v>0</v>
      </c>
      <c r="K20" s="487">
        <f t="shared" si="2"/>
        <v>0</v>
      </c>
      <c r="L20" s="487">
        <f t="shared" si="2"/>
        <v>0</v>
      </c>
      <c r="M20" s="487">
        <f t="shared" si="2"/>
        <v>0</v>
      </c>
      <c r="N20" s="487">
        <f t="shared" si="2"/>
        <v>0</v>
      </c>
    </row>
    <row r="21" spans="1:25" s="125" customFormat="1" ht="33" customHeight="1" thickBot="1" x14ac:dyDescent="0.3">
      <c r="A21" s="544" t="s">
        <v>4</v>
      </c>
      <c r="B21" s="1068" t="s">
        <v>554</v>
      </c>
      <c r="C21" s="1068"/>
      <c r="D21" s="1069"/>
      <c r="E21" s="392"/>
      <c r="F21" s="392"/>
      <c r="G21" s="392"/>
      <c r="H21" s="392"/>
      <c r="I21" s="392"/>
      <c r="J21" s="392"/>
      <c r="K21" s="392"/>
      <c r="L21" s="392"/>
      <c r="M21" s="392"/>
      <c r="N21" s="392"/>
    </row>
    <row r="22" spans="1:25" s="125" customFormat="1" ht="30" customHeight="1" thickBot="1" x14ac:dyDescent="0.3">
      <c r="A22" s="544" t="s">
        <v>7</v>
      </c>
      <c r="B22" s="1044" t="s">
        <v>555</v>
      </c>
      <c r="C22" s="1045"/>
      <c r="D22" s="1046"/>
      <c r="E22" s="389">
        <f t="shared" ref="E22:N22" si="3">SUM(E20:E21)</f>
        <v>0</v>
      </c>
      <c r="F22" s="388">
        <f t="shared" si="3"/>
        <v>0</v>
      </c>
      <c r="G22" s="389">
        <f t="shared" si="3"/>
        <v>0</v>
      </c>
      <c r="H22" s="390">
        <f t="shared" si="3"/>
        <v>0</v>
      </c>
      <c r="I22" s="391">
        <f t="shared" si="3"/>
        <v>0</v>
      </c>
      <c r="J22" s="390">
        <f t="shared" si="3"/>
        <v>0</v>
      </c>
      <c r="K22" s="391">
        <f t="shared" si="3"/>
        <v>0</v>
      </c>
      <c r="L22" s="390">
        <f t="shared" si="3"/>
        <v>0</v>
      </c>
      <c r="M22" s="391">
        <f t="shared" si="3"/>
        <v>0</v>
      </c>
      <c r="N22" s="391">
        <f t="shared" si="3"/>
        <v>0</v>
      </c>
    </row>
    <row r="24" spans="1:25" x14ac:dyDescent="0.2">
      <c r="D24" s="98"/>
    </row>
  </sheetData>
  <mergeCells count="14">
    <mergeCell ref="B22:D22"/>
    <mergeCell ref="A1:G1"/>
    <mergeCell ref="C2:D2"/>
    <mergeCell ref="E2:G2"/>
    <mergeCell ref="A3:A4"/>
    <mergeCell ref="B3:B4"/>
    <mergeCell ref="C3:F3"/>
    <mergeCell ref="G3:G4"/>
    <mergeCell ref="A16:P16"/>
    <mergeCell ref="B18:D18"/>
    <mergeCell ref="B19:D19"/>
    <mergeCell ref="B20:D20"/>
    <mergeCell ref="B21:D21"/>
    <mergeCell ref="A15:B15"/>
  </mergeCells>
  <pageMargins left="0.51181102362204722" right="0.51181102362204722" top="0.74803149606299213" bottom="0.74803149606299213" header="0.31496062992125984" footer="0.31496062992125984"/>
  <pageSetup paperSize="9" scale="63" orientation="portrait" r:id="rId1"/>
  <headerFooter>
    <oddHeader>&amp;R28. sz. melléklet
...../2025.(II.13.) Egyek Önk.</oddHeader>
  </headerFooter>
  <rowBreaks count="1" manualBreakCount="1">
    <brk id="15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zoomScale="140" zoomScaleNormal="140" workbookViewId="0">
      <selection activeCell="B17" sqref="B17"/>
    </sheetView>
  </sheetViews>
  <sheetFormatPr defaultColWidth="8" defaultRowHeight="15" x14ac:dyDescent="0.25"/>
  <cols>
    <col min="1" max="1" width="4.85546875" style="125" customWidth="1"/>
    <col min="2" max="2" width="58.85546875" style="125" customWidth="1"/>
    <col min="3" max="3" width="16.7109375" style="125" customWidth="1"/>
    <col min="4" max="5" width="17.140625" style="125" customWidth="1"/>
    <col min="6" max="6" width="19" style="125" customWidth="1"/>
    <col min="7" max="16384" width="8" style="125"/>
  </cols>
  <sheetData>
    <row r="1" spans="1:9" ht="33" customHeight="1" x14ac:dyDescent="0.25">
      <c r="A1" s="1047" t="s">
        <v>103</v>
      </c>
      <c r="B1" s="1047"/>
      <c r="C1" s="1047"/>
      <c r="D1" s="1047"/>
      <c r="E1" s="1047"/>
      <c r="F1" s="1047"/>
    </row>
    <row r="2" spans="1:9" ht="15.95" customHeight="1" thickBot="1" x14ac:dyDescent="0.3">
      <c r="A2" s="126"/>
      <c r="B2" s="126"/>
      <c r="D2" s="127"/>
      <c r="F2" s="129" t="s">
        <v>354</v>
      </c>
    </row>
    <row r="3" spans="1:9" ht="26.25" customHeight="1" thickBot="1" x14ac:dyDescent="0.3">
      <c r="A3" s="130" t="s">
        <v>48</v>
      </c>
      <c r="B3" s="131" t="s">
        <v>91</v>
      </c>
      <c r="C3" s="132" t="s">
        <v>391</v>
      </c>
      <c r="D3" s="132" t="s">
        <v>401</v>
      </c>
      <c r="E3" s="132" t="s">
        <v>473</v>
      </c>
      <c r="F3" s="132" t="s">
        <v>543</v>
      </c>
    </row>
    <row r="4" spans="1:9" ht="15.75" thickBot="1" x14ac:dyDescent="0.3">
      <c r="A4" s="133">
        <v>1</v>
      </c>
      <c r="B4" s="134">
        <v>2</v>
      </c>
      <c r="C4" s="454">
        <v>3</v>
      </c>
      <c r="D4" s="455">
        <v>4</v>
      </c>
      <c r="E4" s="456">
        <v>5</v>
      </c>
      <c r="F4" s="457">
        <v>6</v>
      </c>
    </row>
    <row r="5" spans="1:9" x14ac:dyDescent="0.25">
      <c r="A5" s="135" t="s">
        <v>2</v>
      </c>
      <c r="B5" s="458" t="s">
        <v>92</v>
      </c>
      <c r="C5" s="462">
        <f>'Bevétel 2.melléklet'!C23+'Bevétel 2.melléklet'!C24</f>
        <v>127401000</v>
      </c>
      <c r="D5" s="462">
        <f>C5</f>
        <v>127401000</v>
      </c>
      <c r="E5" s="462">
        <f t="shared" ref="E5:F5" si="0">D5</f>
        <v>127401000</v>
      </c>
      <c r="F5" s="462">
        <f t="shared" si="0"/>
        <v>127401000</v>
      </c>
    </row>
    <row r="6" spans="1:9" x14ac:dyDescent="0.25">
      <c r="A6" s="136" t="s">
        <v>6</v>
      </c>
      <c r="B6" s="459" t="s">
        <v>93</v>
      </c>
      <c r="C6" s="463"/>
      <c r="D6" s="463"/>
      <c r="E6" s="463"/>
      <c r="F6" s="463"/>
    </row>
    <row r="7" spans="1:9" x14ac:dyDescent="0.25">
      <c r="A7" s="136" t="s">
        <v>10</v>
      </c>
      <c r="B7" s="459" t="s">
        <v>94</v>
      </c>
      <c r="C7" s="463">
        <f>'Bevétel 2.melléklet'!C27</f>
        <v>8520000</v>
      </c>
      <c r="D7" s="463">
        <f>C7</f>
        <v>8520000</v>
      </c>
      <c r="E7" s="463">
        <f t="shared" ref="E7:F7" si="1">D7</f>
        <v>8520000</v>
      </c>
      <c r="F7" s="463">
        <f t="shared" si="1"/>
        <v>8520000</v>
      </c>
      <c r="I7" s="155"/>
    </row>
    <row r="8" spans="1:9" ht="23.25" x14ac:dyDescent="0.25">
      <c r="A8" s="136" t="s">
        <v>4</v>
      </c>
      <c r="B8" s="460" t="s">
        <v>95</v>
      </c>
      <c r="C8" s="463">
        <v>999000</v>
      </c>
      <c r="D8" s="463">
        <f>C8</f>
        <v>999000</v>
      </c>
      <c r="E8" s="463">
        <f t="shared" ref="E8:F8" si="2">D8</f>
        <v>999000</v>
      </c>
      <c r="F8" s="463">
        <f t="shared" si="2"/>
        <v>999000</v>
      </c>
    </row>
    <row r="9" spans="1:9" x14ac:dyDescent="0.25">
      <c r="A9" s="137" t="s">
        <v>7</v>
      </c>
      <c r="B9" s="461" t="s">
        <v>96</v>
      </c>
      <c r="C9" s="463"/>
      <c r="D9" s="463"/>
      <c r="E9" s="463"/>
      <c r="F9" s="463"/>
    </row>
    <row r="10" spans="1:9" x14ac:dyDescent="0.25">
      <c r="A10" s="136" t="s">
        <v>11</v>
      </c>
      <c r="B10" s="459" t="s">
        <v>97</v>
      </c>
      <c r="C10" s="463"/>
      <c r="D10" s="463"/>
      <c r="E10" s="463"/>
      <c r="F10" s="463"/>
    </row>
    <row r="11" spans="1:9" ht="15.75" thickBot="1" x14ac:dyDescent="0.3">
      <c r="A11" s="137" t="s">
        <v>5</v>
      </c>
      <c r="B11" s="461" t="s">
        <v>98</v>
      </c>
      <c r="C11" s="464"/>
      <c r="D11" s="464"/>
      <c r="E11" s="464"/>
      <c r="F11" s="464"/>
    </row>
    <row r="12" spans="1:9" s="185" customFormat="1" ht="15.75" thickBot="1" x14ac:dyDescent="0.3">
      <c r="A12" s="1072" t="s">
        <v>99</v>
      </c>
      <c r="B12" s="1073"/>
      <c r="C12" s="184">
        <f>SUM(C5:C11)</f>
        <v>136920000</v>
      </c>
      <c r="D12" s="184">
        <f>SUM(D5:D11)</f>
        <v>136920000</v>
      </c>
      <c r="E12" s="184">
        <f>SUM(E5:E11)</f>
        <v>136920000</v>
      </c>
      <c r="F12" s="184">
        <f>SUM(F5:F11)</f>
        <v>136920000</v>
      </c>
    </row>
    <row r="13" spans="1:9" s="186" customFormat="1" ht="33" customHeight="1" thickBot="1" x14ac:dyDescent="0.25">
      <c r="A13" s="1074" t="s">
        <v>237</v>
      </c>
      <c r="B13" s="1075"/>
      <c r="C13" s="324">
        <f>C12*0.5</f>
        <v>68460000</v>
      </c>
      <c r="D13" s="324">
        <f>D12*0.5</f>
        <v>68460000</v>
      </c>
      <c r="E13" s="324">
        <f>E12*0.5</f>
        <v>68460000</v>
      </c>
      <c r="F13" s="324">
        <f>F12*0.5</f>
        <v>68460000</v>
      </c>
    </row>
    <row r="14" spans="1:9" s="186" customFormat="1" thickBot="1" x14ac:dyDescent="0.25">
      <c r="A14" s="1076"/>
      <c r="B14" s="1077"/>
      <c r="C14" s="187">
        <f>C13/C12</f>
        <v>0.5</v>
      </c>
      <c r="D14" s="187">
        <f>D13/D12</f>
        <v>0.5</v>
      </c>
      <c r="E14" s="187">
        <f>E13/E12</f>
        <v>0.5</v>
      </c>
      <c r="F14" s="187">
        <f>F13/F12</f>
        <v>0.5</v>
      </c>
    </row>
  </sheetData>
  <mergeCells count="4">
    <mergeCell ref="A1:F1"/>
    <mergeCell ref="A12:B12"/>
    <mergeCell ref="A13:B13"/>
    <mergeCell ref="A14:B14"/>
  </mergeCells>
  <printOptions horizontalCentered="1"/>
  <pageMargins left="0.78740157480314965" right="0.78740157480314965" top="1.3779527559055118" bottom="0.98425196850393704" header="0.78740157480314965" footer="0.78740157480314965"/>
  <pageSetup paperSize="9" scale="98" orientation="landscape" r:id="rId1"/>
  <headerFooter alignWithMargins="0">
    <oddHeader>&amp;R&amp;"Times New Roman CE,Normál"&amp;11 29. melléklet a ...../2025.(II.13.)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zoomScale="90" zoomScaleNormal="90" workbookViewId="0">
      <selection activeCell="A26" sqref="A26:XFD32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904" t="s">
        <v>503</v>
      </c>
      <c r="B1" s="904"/>
      <c r="C1" s="904"/>
      <c r="D1" s="904"/>
      <c r="E1" s="904"/>
      <c r="F1" s="904"/>
      <c r="G1" s="904"/>
      <c r="H1" s="904"/>
      <c r="I1" s="904"/>
      <c r="J1" s="904"/>
    </row>
    <row r="2" spans="1:10" x14ac:dyDescent="0.2">
      <c r="A2" s="904"/>
      <c r="B2" s="904"/>
      <c r="C2" s="904"/>
      <c r="D2" s="904"/>
      <c r="E2" s="904"/>
      <c r="F2" s="904"/>
      <c r="G2" s="904"/>
      <c r="H2" s="904"/>
      <c r="I2" s="904"/>
      <c r="J2" s="904"/>
    </row>
    <row r="5" spans="1:10" ht="13.5" thickBot="1" x14ac:dyDescent="0.25"/>
    <row r="6" spans="1:10" ht="86.25" customHeight="1" thickBot="1" x14ac:dyDescent="0.25">
      <c r="A6" s="905" t="s">
        <v>139</v>
      </c>
      <c r="B6" s="474" t="s">
        <v>118</v>
      </c>
      <c r="C6" s="528" t="s">
        <v>124</v>
      </c>
      <c r="D6" s="474" t="s">
        <v>137</v>
      </c>
      <c r="E6" s="474" t="s">
        <v>116</v>
      </c>
      <c r="F6" s="474" t="s">
        <v>138</v>
      </c>
      <c r="G6" s="474" t="s">
        <v>135</v>
      </c>
      <c r="H6" s="474" t="s">
        <v>126</v>
      </c>
      <c r="I6" s="474" t="s">
        <v>133</v>
      </c>
      <c r="J6" s="475" t="s">
        <v>13</v>
      </c>
    </row>
    <row r="7" spans="1:10" ht="25.5" customHeight="1" thickBot="1" x14ac:dyDescent="0.25">
      <c r="A7" s="906"/>
      <c r="B7" s="160" t="s">
        <v>502</v>
      </c>
      <c r="C7" s="160" t="s">
        <v>502</v>
      </c>
      <c r="D7" s="160" t="s">
        <v>502</v>
      </c>
      <c r="E7" s="160" t="s">
        <v>502</v>
      </c>
      <c r="F7" s="160" t="s">
        <v>502</v>
      </c>
      <c r="G7" s="160" t="s">
        <v>502</v>
      </c>
      <c r="H7" s="160" t="s">
        <v>502</v>
      </c>
      <c r="I7" s="160" t="s">
        <v>502</v>
      </c>
      <c r="J7" s="160" t="s">
        <v>502</v>
      </c>
    </row>
    <row r="8" spans="1:10" s="312" customFormat="1" ht="27.75" customHeight="1" thickBot="1" x14ac:dyDescent="0.25">
      <c r="A8" s="338" t="s">
        <v>283</v>
      </c>
      <c r="B8" s="518"/>
      <c r="C8" s="520"/>
      <c r="D8" s="519"/>
      <c r="E8" s="520">
        <v>4858000</v>
      </c>
      <c r="F8" s="519"/>
      <c r="G8" s="519">
        <v>18755816</v>
      </c>
      <c r="H8" s="519"/>
      <c r="I8" s="521"/>
      <c r="J8" s="515">
        <f>SUM(B8:I8)</f>
        <v>23613816</v>
      </c>
    </row>
    <row r="9" spans="1:10" ht="13.5" thickBot="1" x14ac:dyDescent="0.25">
      <c r="A9" s="647" t="s">
        <v>146</v>
      </c>
      <c r="B9" s="522"/>
      <c r="C9" s="259"/>
      <c r="D9" s="316"/>
      <c r="E9" s="259">
        <v>1535000</v>
      </c>
      <c r="F9" s="316"/>
      <c r="G9" s="259"/>
      <c r="H9" s="316"/>
      <c r="I9" s="523"/>
      <c r="J9" s="515">
        <f t="shared" ref="J9:J23" si="0">SUM(B9:I9)</f>
        <v>1535000</v>
      </c>
    </row>
    <row r="10" spans="1:10" s="68" customFormat="1" ht="27.75" customHeight="1" thickBot="1" x14ac:dyDescent="0.25">
      <c r="A10" s="732" t="s">
        <v>140</v>
      </c>
      <c r="B10" s="526">
        <v>3696000</v>
      </c>
      <c r="C10" s="517"/>
      <c r="D10" s="517"/>
      <c r="E10" s="517">
        <v>72986000</v>
      </c>
      <c r="F10" s="517">
        <v>1529000</v>
      </c>
      <c r="G10" s="517"/>
      <c r="H10" s="517"/>
      <c r="I10" s="527"/>
      <c r="J10" s="515">
        <f t="shared" si="0"/>
        <v>78211000</v>
      </c>
    </row>
    <row r="11" spans="1:10" s="734" customFormat="1" ht="15.75" customHeight="1" thickBot="1" x14ac:dyDescent="0.25">
      <c r="A11" s="551" t="s">
        <v>142</v>
      </c>
      <c r="B11" s="526">
        <v>330516030</v>
      </c>
      <c r="C11" s="517"/>
      <c r="D11" s="517"/>
      <c r="E11" s="733"/>
      <c r="F11" s="517"/>
      <c r="G11" s="733"/>
      <c r="H11" s="733"/>
      <c r="I11" s="527">
        <v>12274215</v>
      </c>
      <c r="J11" s="515">
        <f t="shared" si="0"/>
        <v>342790245</v>
      </c>
    </row>
    <row r="12" spans="1:10" s="734" customFormat="1" ht="15.75" customHeight="1" thickBot="1" x14ac:dyDescent="0.25">
      <c r="A12" s="735" t="s">
        <v>306</v>
      </c>
      <c r="B12" s="526"/>
      <c r="C12" s="517"/>
      <c r="D12" s="517"/>
      <c r="E12" s="733"/>
      <c r="F12" s="517"/>
      <c r="G12" s="733"/>
      <c r="H12" s="733"/>
      <c r="I12" s="527">
        <v>174596133</v>
      </c>
      <c r="J12" s="515">
        <f t="shared" si="0"/>
        <v>174596133</v>
      </c>
    </row>
    <row r="13" spans="1:10" s="734" customFormat="1" ht="15.75" customHeight="1" thickBot="1" x14ac:dyDescent="0.25">
      <c r="A13" s="735" t="s">
        <v>358</v>
      </c>
      <c r="B13" s="526">
        <v>26596000</v>
      </c>
      <c r="C13" s="517"/>
      <c r="D13" s="517"/>
      <c r="E13" s="733"/>
      <c r="F13" s="517"/>
      <c r="G13" s="733"/>
      <c r="H13" s="733"/>
      <c r="I13" s="527"/>
      <c r="J13" s="515">
        <f t="shared" si="0"/>
        <v>26596000</v>
      </c>
    </row>
    <row r="14" spans="1:10" s="68" customFormat="1" ht="13.5" thickBot="1" x14ac:dyDescent="0.25">
      <c r="A14" s="735" t="s">
        <v>145</v>
      </c>
      <c r="B14" s="526">
        <v>313046866</v>
      </c>
      <c r="C14" s="517">
        <v>1351163</v>
      </c>
      <c r="D14" s="736"/>
      <c r="E14" s="517">
        <v>20626000</v>
      </c>
      <c r="F14" s="517">
        <v>10000</v>
      </c>
      <c r="G14" s="736"/>
      <c r="H14" s="736"/>
      <c r="I14" s="527"/>
      <c r="J14" s="515">
        <f t="shared" si="0"/>
        <v>335034029</v>
      </c>
    </row>
    <row r="15" spans="1:10" s="68" customFormat="1" ht="15.75" customHeight="1" thickBot="1" x14ac:dyDescent="0.25">
      <c r="A15" s="732" t="s">
        <v>282</v>
      </c>
      <c r="B15" s="526"/>
      <c r="C15" s="517"/>
      <c r="D15" s="517"/>
      <c r="E15" s="517">
        <v>39243000</v>
      </c>
      <c r="F15" s="517"/>
      <c r="G15" s="517"/>
      <c r="H15" s="517"/>
      <c r="I15" s="527"/>
      <c r="J15" s="515">
        <f t="shared" si="0"/>
        <v>39243000</v>
      </c>
    </row>
    <row r="16" spans="1:10" s="68" customFormat="1" ht="13.5" thickBot="1" x14ac:dyDescent="0.25">
      <c r="A16" s="551" t="s">
        <v>325</v>
      </c>
      <c r="B16" s="526"/>
      <c r="C16" s="517">
        <v>199531992</v>
      </c>
      <c r="D16" s="517"/>
      <c r="E16" s="517"/>
      <c r="F16" s="517"/>
      <c r="G16" s="517"/>
      <c r="H16" s="517"/>
      <c r="I16" s="527"/>
      <c r="J16" s="515">
        <f t="shared" si="0"/>
        <v>199531992</v>
      </c>
    </row>
    <row r="17" spans="1:10" s="68" customFormat="1" ht="13.5" thickBot="1" x14ac:dyDescent="0.25">
      <c r="A17" s="551" t="s">
        <v>359</v>
      </c>
      <c r="B17" s="526"/>
      <c r="C17" s="517"/>
      <c r="D17" s="517"/>
      <c r="E17" s="517">
        <v>762000</v>
      </c>
      <c r="F17" s="517"/>
      <c r="G17" s="517"/>
      <c r="H17" s="517"/>
      <c r="I17" s="527"/>
      <c r="J17" s="515">
        <f t="shared" si="0"/>
        <v>762000</v>
      </c>
    </row>
    <row r="18" spans="1:10" s="68" customFormat="1" ht="18" customHeight="1" thickBot="1" x14ac:dyDescent="0.25">
      <c r="A18" s="732" t="s">
        <v>289</v>
      </c>
      <c r="B18" s="526"/>
      <c r="C18" s="517"/>
      <c r="D18" s="517"/>
      <c r="E18" s="517">
        <v>635000</v>
      </c>
      <c r="F18" s="517"/>
      <c r="G18" s="517"/>
      <c r="H18" s="517"/>
      <c r="I18" s="527"/>
      <c r="J18" s="515">
        <f t="shared" si="0"/>
        <v>635000</v>
      </c>
    </row>
    <row r="19" spans="1:10" s="68" customFormat="1" ht="13.5" thickBot="1" x14ac:dyDescent="0.25">
      <c r="A19" s="735" t="s">
        <v>170</v>
      </c>
      <c r="B19" s="526">
        <v>67980500</v>
      </c>
      <c r="C19" s="517"/>
      <c r="D19" s="517"/>
      <c r="E19" s="517">
        <v>1435000</v>
      </c>
      <c r="F19" s="517"/>
      <c r="G19" s="517"/>
      <c r="H19" s="517"/>
      <c r="I19" s="527"/>
      <c r="J19" s="515">
        <f t="shared" si="0"/>
        <v>69415500</v>
      </c>
    </row>
    <row r="20" spans="1:10" s="68" customFormat="1" ht="13.5" thickBot="1" x14ac:dyDescent="0.25">
      <c r="A20" s="735" t="s">
        <v>557</v>
      </c>
      <c r="B20" s="526">
        <v>282000</v>
      </c>
      <c r="C20" s="517"/>
      <c r="D20" s="517"/>
      <c r="E20" s="517"/>
      <c r="F20" s="517"/>
      <c r="G20" s="517"/>
      <c r="H20" s="517"/>
      <c r="I20" s="527"/>
      <c r="J20" s="515">
        <f t="shared" si="0"/>
        <v>282000</v>
      </c>
    </row>
    <row r="21" spans="1:10" s="68" customFormat="1" ht="13.5" thickBot="1" x14ac:dyDescent="0.25">
      <c r="A21" s="735" t="s">
        <v>360</v>
      </c>
      <c r="B21" s="526"/>
      <c r="C21" s="517"/>
      <c r="D21" s="736"/>
      <c r="E21" s="517"/>
      <c r="F21" s="736"/>
      <c r="G21" s="517"/>
      <c r="H21" s="736"/>
      <c r="I21" s="527"/>
      <c r="J21" s="515">
        <f t="shared" si="0"/>
        <v>0</v>
      </c>
    </row>
    <row r="22" spans="1:10" s="68" customFormat="1" ht="26.25" thickBot="1" x14ac:dyDescent="0.25">
      <c r="A22" s="872" t="s">
        <v>334</v>
      </c>
      <c r="B22" s="526">
        <v>3500000</v>
      </c>
      <c r="C22" s="517"/>
      <c r="D22" s="736"/>
      <c r="E22" s="517"/>
      <c r="F22" s="736"/>
      <c r="G22" s="517"/>
      <c r="H22" s="736"/>
      <c r="I22" s="527"/>
      <c r="J22" s="515">
        <f>SUM(B22:I22)</f>
        <v>3500000</v>
      </c>
    </row>
    <row r="23" spans="1:10" s="68" customFormat="1" ht="30" customHeight="1" thickBot="1" x14ac:dyDescent="0.25">
      <c r="A23" s="732" t="s">
        <v>143</v>
      </c>
      <c r="B23" s="526"/>
      <c r="C23" s="517"/>
      <c r="D23" s="517">
        <v>135921000</v>
      </c>
      <c r="E23" s="517"/>
      <c r="F23" s="517"/>
      <c r="G23" s="517"/>
      <c r="H23" s="517"/>
      <c r="I23" s="527"/>
      <c r="J23" s="515">
        <f t="shared" si="0"/>
        <v>135921000</v>
      </c>
    </row>
    <row r="24" spans="1:10" s="162" customFormat="1" ht="13.5" thickBot="1" x14ac:dyDescent="0.25">
      <c r="A24" s="314" t="s">
        <v>13</v>
      </c>
      <c r="B24" s="516">
        <f t="shared" ref="B24:J24" si="1">SUM(B8:B23)</f>
        <v>745617396</v>
      </c>
      <c r="C24" s="516">
        <f t="shared" si="1"/>
        <v>200883155</v>
      </c>
      <c r="D24" s="516">
        <f t="shared" si="1"/>
        <v>135921000</v>
      </c>
      <c r="E24" s="516">
        <f t="shared" si="1"/>
        <v>142080000</v>
      </c>
      <c r="F24" s="516">
        <f t="shared" si="1"/>
        <v>1539000</v>
      </c>
      <c r="G24" s="516">
        <f t="shared" si="1"/>
        <v>18755816</v>
      </c>
      <c r="H24" s="516">
        <f t="shared" si="1"/>
        <v>0</v>
      </c>
      <c r="I24" s="516">
        <f t="shared" si="1"/>
        <v>186870348</v>
      </c>
      <c r="J24" s="476">
        <f t="shared" si="1"/>
        <v>1431666715</v>
      </c>
    </row>
  </sheetData>
  <mergeCells count="2">
    <mergeCell ref="A1:J2"/>
    <mergeCell ref="A6:A7"/>
  </mergeCells>
  <pageMargins left="0.75" right="0.75" top="1" bottom="1" header="0.5" footer="0.5"/>
  <pageSetup paperSize="9" scale="62" orientation="landscape" r:id="rId1"/>
  <headerFooter alignWithMargins="0">
    <oddHeader>&amp;R4. sz. melléklete
......../2025.(II.13.) Egyek Önk.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zoomScaleNormal="100" workbookViewId="0">
      <selection activeCell="E20" sqref="E20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904" t="s">
        <v>504</v>
      </c>
      <c r="B1" s="904"/>
      <c r="C1" s="904"/>
      <c r="D1" s="904"/>
      <c r="E1" s="904"/>
      <c r="F1" s="904"/>
      <c r="G1" s="904"/>
      <c r="H1" s="904"/>
      <c r="I1" s="904"/>
      <c r="J1" s="904"/>
    </row>
    <row r="2" spans="1:10" x14ac:dyDescent="0.2">
      <c r="A2" s="904"/>
      <c r="B2" s="904"/>
      <c r="C2" s="904"/>
      <c r="D2" s="904"/>
      <c r="E2" s="904"/>
      <c r="F2" s="904"/>
      <c r="G2" s="904"/>
      <c r="H2" s="904"/>
      <c r="I2" s="904"/>
      <c r="J2" s="904"/>
    </row>
    <row r="5" spans="1:10" ht="13.5" thickBot="1" x14ac:dyDescent="0.25"/>
    <row r="6" spans="1:10" ht="86.25" customHeight="1" thickBot="1" x14ac:dyDescent="0.25">
      <c r="A6" s="905" t="s">
        <v>139</v>
      </c>
      <c r="B6" s="474" t="s">
        <v>118</v>
      </c>
      <c r="C6" s="528" t="s">
        <v>124</v>
      </c>
      <c r="D6" s="474" t="s">
        <v>137</v>
      </c>
      <c r="E6" s="474" t="s">
        <v>116</v>
      </c>
      <c r="F6" s="474" t="s">
        <v>138</v>
      </c>
      <c r="G6" s="474" t="s">
        <v>135</v>
      </c>
      <c r="H6" s="474" t="s">
        <v>126</v>
      </c>
      <c r="I6" s="474" t="s">
        <v>133</v>
      </c>
      <c r="J6" s="475" t="s">
        <v>13</v>
      </c>
    </row>
    <row r="7" spans="1:10" ht="25.5" customHeight="1" thickBot="1" x14ac:dyDescent="0.25">
      <c r="A7" s="906"/>
      <c r="B7" s="160" t="s">
        <v>502</v>
      </c>
      <c r="C7" s="160" t="s">
        <v>502</v>
      </c>
      <c r="D7" s="160" t="s">
        <v>502</v>
      </c>
      <c r="E7" s="160" t="s">
        <v>502</v>
      </c>
      <c r="F7" s="160" t="s">
        <v>502</v>
      </c>
      <c r="G7" s="160" t="s">
        <v>502</v>
      </c>
      <c r="H7" s="160" t="s">
        <v>502</v>
      </c>
      <c r="I7" s="160" t="s">
        <v>502</v>
      </c>
      <c r="J7" s="160" t="s">
        <v>502</v>
      </c>
    </row>
    <row r="8" spans="1:10" s="68" customFormat="1" ht="13.5" thickBot="1" x14ac:dyDescent="0.25">
      <c r="A8" s="551" t="s">
        <v>141</v>
      </c>
      <c r="B8" s="526">
        <v>2450000</v>
      </c>
      <c r="C8" s="517"/>
      <c r="D8" s="517"/>
      <c r="E8" s="517"/>
      <c r="F8" s="517"/>
      <c r="G8" s="517"/>
      <c r="H8" s="517"/>
      <c r="I8" s="527"/>
      <c r="J8" s="515">
        <f t="shared" ref="J8:J11" si="0">SUM(B8:I8)</f>
        <v>2450000</v>
      </c>
    </row>
    <row r="9" spans="1:10" s="68" customFormat="1" ht="13.5" thickBot="1" x14ac:dyDescent="0.25">
      <c r="A9" s="313" t="s">
        <v>326</v>
      </c>
      <c r="B9" s="524">
        <v>6400000</v>
      </c>
      <c r="C9" s="201"/>
      <c r="D9" s="201"/>
      <c r="E9" s="201">
        <v>381000</v>
      </c>
      <c r="F9" s="201"/>
      <c r="G9" s="201"/>
      <c r="H9" s="201"/>
      <c r="I9" s="525"/>
      <c r="J9" s="514">
        <f t="shared" si="0"/>
        <v>6781000</v>
      </c>
    </row>
    <row r="10" spans="1:10" s="68" customFormat="1" ht="13.5" thickBot="1" x14ac:dyDescent="0.25">
      <c r="A10" s="313" t="s">
        <v>144</v>
      </c>
      <c r="B10" s="522"/>
      <c r="C10" s="259"/>
      <c r="D10" s="316"/>
      <c r="E10" s="259">
        <v>8000</v>
      </c>
      <c r="F10" s="316"/>
      <c r="G10" s="316"/>
      <c r="H10" s="316"/>
      <c r="I10" s="523"/>
      <c r="J10" s="514">
        <f t="shared" si="0"/>
        <v>8000</v>
      </c>
    </row>
    <row r="11" spans="1:10" s="68" customFormat="1" ht="13.5" thickBot="1" x14ac:dyDescent="0.25">
      <c r="A11" s="313" t="s">
        <v>360</v>
      </c>
      <c r="B11" s="636"/>
      <c r="C11" s="261"/>
      <c r="D11" s="637"/>
      <c r="E11" s="261"/>
      <c r="F11" s="637"/>
      <c r="G11" s="261">
        <v>3000000</v>
      </c>
      <c r="H11" s="637"/>
      <c r="I11" s="638"/>
      <c r="J11" s="635">
        <f t="shared" si="0"/>
        <v>3000000</v>
      </c>
    </row>
    <row r="12" spans="1:10" s="481" customFormat="1" ht="13.5" thickBot="1" x14ac:dyDescent="0.25">
      <c r="A12" s="552" t="s">
        <v>13</v>
      </c>
      <c r="B12" s="553">
        <f>SUM(B8:B11)</f>
        <v>8850000</v>
      </c>
      <c r="C12" s="553">
        <f t="shared" ref="C12:J12" si="1">SUM(C8:C11)</f>
        <v>0</v>
      </c>
      <c r="D12" s="553">
        <f t="shared" si="1"/>
        <v>0</v>
      </c>
      <c r="E12" s="553">
        <f t="shared" si="1"/>
        <v>389000</v>
      </c>
      <c r="F12" s="553">
        <f t="shared" si="1"/>
        <v>0</v>
      </c>
      <c r="G12" s="553">
        <f t="shared" si="1"/>
        <v>3000000</v>
      </c>
      <c r="H12" s="553">
        <f t="shared" si="1"/>
        <v>0</v>
      </c>
      <c r="I12" s="553">
        <f t="shared" si="1"/>
        <v>0</v>
      </c>
      <c r="J12" s="553">
        <f t="shared" si="1"/>
        <v>12239000</v>
      </c>
    </row>
  </sheetData>
  <mergeCells count="2">
    <mergeCell ref="A1:J2"/>
    <mergeCell ref="A6:A7"/>
  </mergeCells>
  <pageMargins left="0.7" right="0.7" top="0.75" bottom="0.75" header="0.3" footer="0.3"/>
  <pageSetup paperSize="9" scale="63" orientation="landscape" r:id="rId1"/>
  <headerFooter>
    <oddHeader xml:space="preserve">&amp;R 5. sz. melléklet
......../2025.(II.13.) Egyek Önk.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A10" sqref="A10:XFD10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6.28515625" customWidth="1"/>
  </cols>
  <sheetData>
    <row r="1" spans="1:10" ht="15.75" customHeight="1" x14ac:dyDescent="0.2">
      <c r="A1" s="904" t="s">
        <v>505</v>
      </c>
      <c r="B1" s="904"/>
      <c r="C1" s="904"/>
      <c r="D1" s="904"/>
      <c r="E1" s="904"/>
      <c r="F1" s="904"/>
      <c r="G1" s="904"/>
      <c r="H1" s="904"/>
      <c r="I1" s="904"/>
      <c r="J1" s="904"/>
    </row>
    <row r="2" spans="1:10" ht="15.75" customHeight="1" x14ac:dyDescent="0.2">
      <c r="A2" s="904"/>
      <c r="B2" s="904"/>
      <c r="C2" s="904"/>
      <c r="D2" s="904"/>
      <c r="E2" s="904"/>
      <c r="F2" s="904"/>
      <c r="G2" s="904"/>
      <c r="H2" s="904"/>
      <c r="I2" s="904"/>
      <c r="J2" s="904"/>
    </row>
    <row r="5" spans="1:10" ht="13.5" thickBot="1" x14ac:dyDescent="0.25"/>
    <row r="6" spans="1:10" ht="51.75" thickBot="1" x14ac:dyDescent="0.25">
      <c r="A6" s="905" t="s">
        <v>139</v>
      </c>
      <c r="B6" s="122" t="s">
        <v>118</v>
      </c>
      <c r="C6" s="122" t="s">
        <v>124</v>
      </c>
      <c r="D6" s="122" t="s">
        <v>137</v>
      </c>
      <c r="E6" s="122" t="s">
        <v>116</v>
      </c>
      <c r="F6" s="122" t="s">
        <v>138</v>
      </c>
      <c r="G6" s="122" t="s">
        <v>135</v>
      </c>
      <c r="H6" s="122" t="s">
        <v>126</v>
      </c>
      <c r="I6" s="122" t="s">
        <v>133</v>
      </c>
      <c r="J6" s="123" t="s">
        <v>13</v>
      </c>
    </row>
    <row r="7" spans="1:10" ht="24.6" customHeight="1" thickBot="1" x14ac:dyDescent="0.25">
      <c r="A7" s="907"/>
      <c r="B7" s="160" t="s">
        <v>502</v>
      </c>
      <c r="C7" s="160" t="s">
        <v>502</v>
      </c>
      <c r="D7" s="160" t="s">
        <v>502</v>
      </c>
      <c r="E7" s="160" t="s">
        <v>502</v>
      </c>
      <c r="F7" s="160" t="s">
        <v>502</v>
      </c>
      <c r="G7" s="160" t="s">
        <v>502</v>
      </c>
      <c r="H7" s="160" t="s">
        <v>502</v>
      </c>
      <c r="I7" s="160" t="s">
        <v>502</v>
      </c>
      <c r="J7" s="160" t="s">
        <v>502</v>
      </c>
    </row>
    <row r="8" spans="1:10" ht="31.5" customHeight="1" thickBot="1" x14ac:dyDescent="0.25">
      <c r="A8" s="335" t="s">
        <v>147</v>
      </c>
      <c r="B8" s="424"/>
      <c r="C8" s="424"/>
      <c r="D8" s="424"/>
      <c r="E8" s="424">
        <v>408000</v>
      </c>
      <c r="F8" s="424"/>
      <c r="G8" s="424"/>
      <c r="H8" s="424"/>
      <c r="I8" s="426"/>
      <c r="J8" s="648">
        <f>SUM(B8:I8)</f>
        <v>408000</v>
      </c>
    </row>
    <row r="9" spans="1:10" ht="31.5" customHeight="1" thickBot="1" x14ac:dyDescent="0.25">
      <c r="A9" s="421" t="s">
        <v>148</v>
      </c>
      <c r="B9" s="422">
        <v>0</v>
      </c>
      <c r="C9" s="422">
        <v>0</v>
      </c>
      <c r="D9" s="422">
        <v>0</v>
      </c>
      <c r="E9" s="422">
        <v>0</v>
      </c>
      <c r="F9" s="422">
        <v>0</v>
      </c>
      <c r="G9" s="422">
        <v>0</v>
      </c>
      <c r="H9" s="422">
        <v>0</v>
      </c>
      <c r="I9" s="427">
        <v>0</v>
      </c>
      <c r="J9" s="82">
        <f>SUM(B9:I9)</f>
        <v>0</v>
      </c>
    </row>
    <row r="10" spans="1:10" ht="23.25" customHeight="1" thickBot="1" x14ac:dyDescent="0.25">
      <c r="A10" s="735" t="s">
        <v>306</v>
      </c>
      <c r="B10" s="422">
        <v>0</v>
      </c>
      <c r="C10" s="422">
        <v>0</v>
      </c>
      <c r="D10" s="422">
        <v>0</v>
      </c>
      <c r="E10" s="422">
        <v>0</v>
      </c>
      <c r="F10" s="422">
        <v>0</v>
      </c>
      <c r="G10" s="422">
        <v>0</v>
      </c>
      <c r="H10" s="422">
        <v>0</v>
      </c>
      <c r="I10" s="427">
        <f>224633890+256000</f>
        <v>224889890</v>
      </c>
      <c r="J10" s="82">
        <f>SUM(B10:I10)</f>
        <v>224889890</v>
      </c>
    </row>
    <row r="11" spans="1:10" ht="32.25" customHeight="1" thickBot="1" x14ac:dyDescent="0.25">
      <c r="A11" s="423" t="s">
        <v>13</v>
      </c>
      <c r="B11" s="425">
        <f t="shared" ref="B11:J11" si="0">SUM(B8:B10)</f>
        <v>0</v>
      </c>
      <c r="C11" s="425">
        <f t="shared" si="0"/>
        <v>0</v>
      </c>
      <c r="D11" s="425">
        <f t="shared" si="0"/>
        <v>0</v>
      </c>
      <c r="E11" s="425">
        <f t="shared" si="0"/>
        <v>408000</v>
      </c>
      <c r="F11" s="425">
        <f t="shared" si="0"/>
        <v>0</v>
      </c>
      <c r="G11" s="425">
        <f t="shared" si="0"/>
        <v>0</v>
      </c>
      <c r="H11" s="425">
        <f t="shared" si="0"/>
        <v>0</v>
      </c>
      <c r="I11" s="425">
        <f t="shared" si="0"/>
        <v>224889890</v>
      </c>
      <c r="J11" s="161">
        <f t="shared" si="0"/>
        <v>225297890</v>
      </c>
    </row>
  </sheetData>
  <mergeCells count="2">
    <mergeCell ref="A6:A7"/>
    <mergeCell ref="A1:J2"/>
  </mergeCells>
  <phoneticPr fontId="38" type="noConversion"/>
  <pageMargins left="0.74803149606299213" right="0.74803149606299213" top="0.98425196850393704" bottom="0.98425196850393704" header="0.51181102362204722" footer="0.51181102362204722"/>
  <pageSetup paperSize="9" scale="68" orientation="landscape" r:id="rId1"/>
  <headerFooter scaleWithDoc="0" alignWithMargins="0">
    <oddHeader>&amp;R6. sz. melléklete
........./2025.(II.13.) Egyek Önk.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J23" sqref="J23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20.7109375" customWidth="1"/>
  </cols>
  <sheetData>
    <row r="1" spans="1:10" ht="15.75" customHeight="1" x14ac:dyDescent="0.2">
      <c r="A1" s="904" t="s">
        <v>506</v>
      </c>
      <c r="B1" s="904"/>
      <c r="C1" s="904"/>
      <c r="D1" s="904"/>
      <c r="E1" s="904"/>
      <c r="F1" s="904"/>
      <c r="G1" s="904"/>
      <c r="H1" s="904"/>
      <c r="I1" s="904"/>
      <c r="J1" s="904"/>
    </row>
    <row r="2" spans="1:10" ht="15.75" customHeight="1" x14ac:dyDescent="0.2">
      <c r="A2" s="904"/>
      <c r="B2" s="904"/>
      <c r="C2" s="904"/>
      <c r="D2" s="904"/>
      <c r="E2" s="904"/>
      <c r="F2" s="904"/>
      <c r="G2" s="904"/>
      <c r="H2" s="904"/>
      <c r="I2" s="904"/>
      <c r="J2" s="904"/>
    </row>
    <row r="5" spans="1:10" ht="13.5" thickBot="1" x14ac:dyDescent="0.25"/>
    <row r="6" spans="1:10" ht="51.75" thickBot="1" x14ac:dyDescent="0.25">
      <c r="A6" s="905" t="s">
        <v>139</v>
      </c>
      <c r="B6" s="122" t="s">
        <v>118</v>
      </c>
      <c r="C6" s="122" t="s">
        <v>124</v>
      </c>
      <c r="D6" s="122" t="s">
        <v>137</v>
      </c>
      <c r="E6" s="122" t="s">
        <v>116</v>
      </c>
      <c r="F6" s="122" t="s">
        <v>138</v>
      </c>
      <c r="G6" s="122" t="s">
        <v>135</v>
      </c>
      <c r="H6" s="122" t="s">
        <v>126</v>
      </c>
      <c r="I6" s="122" t="s">
        <v>133</v>
      </c>
      <c r="J6" s="123" t="s">
        <v>13</v>
      </c>
    </row>
    <row r="7" spans="1:10" ht="24.6" customHeight="1" thickBot="1" x14ac:dyDescent="0.25">
      <c r="A7" s="907"/>
      <c r="B7" s="160" t="s">
        <v>502</v>
      </c>
      <c r="C7" s="160" t="s">
        <v>502</v>
      </c>
      <c r="D7" s="160" t="s">
        <v>502</v>
      </c>
      <c r="E7" s="160" t="s">
        <v>502</v>
      </c>
      <c r="F7" s="160" t="s">
        <v>502</v>
      </c>
      <c r="G7" s="160" t="s">
        <v>502</v>
      </c>
      <c r="H7" s="160" t="s">
        <v>502</v>
      </c>
      <c r="I7" s="160" t="s">
        <v>502</v>
      </c>
      <c r="J7" s="160" t="s">
        <v>502</v>
      </c>
    </row>
    <row r="8" spans="1:10" ht="31.5" customHeight="1" thickBot="1" x14ac:dyDescent="0.25">
      <c r="A8" s="335" t="s">
        <v>147</v>
      </c>
      <c r="B8" s="424"/>
      <c r="C8" s="424"/>
      <c r="D8" s="424"/>
      <c r="E8" s="424">
        <v>408000</v>
      </c>
      <c r="F8" s="424"/>
      <c r="G8" s="424"/>
      <c r="H8" s="424"/>
      <c r="I8" s="426"/>
      <c r="J8" s="648">
        <f>SUM(B8:I8)</f>
        <v>408000</v>
      </c>
    </row>
    <row r="9" spans="1:10" ht="31.5" customHeight="1" thickBot="1" x14ac:dyDescent="0.25">
      <c r="A9" s="421" t="s">
        <v>148</v>
      </c>
      <c r="B9" s="422">
        <v>0</v>
      </c>
      <c r="C9" s="422">
        <v>0</v>
      </c>
      <c r="D9" s="422">
        <v>0</v>
      </c>
      <c r="E9" s="422">
        <v>0</v>
      </c>
      <c r="F9" s="422">
        <v>0</v>
      </c>
      <c r="G9" s="422">
        <v>0</v>
      </c>
      <c r="H9" s="422">
        <v>0</v>
      </c>
      <c r="I9" s="427">
        <v>0</v>
      </c>
      <c r="J9" s="82">
        <f>SUM(B9:I9)</f>
        <v>0</v>
      </c>
    </row>
    <row r="10" spans="1:10" ht="23.25" customHeight="1" thickBot="1" x14ac:dyDescent="0.25">
      <c r="A10" s="735" t="s">
        <v>306</v>
      </c>
      <c r="B10" s="422">
        <v>0</v>
      </c>
      <c r="C10" s="422">
        <v>0</v>
      </c>
      <c r="D10" s="422">
        <v>0</v>
      </c>
      <c r="E10" s="422">
        <v>0</v>
      </c>
      <c r="F10" s="422">
        <v>0</v>
      </c>
      <c r="G10" s="422">
        <v>0</v>
      </c>
      <c r="H10" s="422">
        <v>0</v>
      </c>
      <c r="I10" s="427">
        <f>224633890+256000</f>
        <v>224889890</v>
      </c>
      <c r="J10" s="82">
        <f>SUM(B10:I10)</f>
        <v>224889890</v>
      </c>
    </row>
    <row r="11" spans="1:10" ht="32.25" customHeight="1" thickBot="1" x14ac:dyDescent="0.25">
      <c r="A11" s="423" t="s">
        <v>13</v>
      </c>
      <c r="B11" s="425">
        <f t="shared" ref="B11:J11" si="0">SUM(B8:B10)</f>
        <v>0</v>
      </c>
      <c r="C11" s="425">
        <f t="shared" si="0"/>
        <v>0</v>
      </c>
      <c r="D11" s="425">
        <f t="shared" si="0"/>
        <v>0</v>
      </c>
      <c r="E11" s="425">
        <f t="shared" si="0"/>
        <v>408000</v>
      </c>
      <c r="F11" s="425">
        <f t="shared" si="0"/>
        <v>0</v>
      </c>
      <c r="G11" s="425">
        <f t="shared" si="0"/>
        <v>0</v>
      </c>
      <c r="H11" s="425">
        <f t="shared" si="0"/>
        <v>0</v>
      </c>
      <c r="I11" s="425">
        <f t="shared" si="0"/>
        <v>224889890</v>
      </c>
      <c r="J11" s="161">
        <f t="shared" si="0"/>
        <v>225297890</v>
      </c>
    </row>
  </sheetData>
  <mergeCells count="2">
    <mergeCell ref="A1:J2"/>
    <mergeCell ref="A6:A7"/>
  </mergeCells>
  <pageMargins left="0.74803149606299213" right="0.74803149606299213" top="0.98425196850393704" bottom="0.98425196850393704" header="0.51181102362204722" footer="0.51181102362204722"/>
  <pageSetup paperSize="9" scale="66" orientation="landscape" r:id="rId1"/>
  <headerFooter scaleWithDoc="0" alignWithMargins="0">
    <oddHeader>&amp;R7. sz. melléklete
......../2025.(II.13.) Egyek Önk.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zoomScaleNormal="100" workbookViewId="0">
      <selection activeCell="I8" sqref="I8"/>
    </sheetView>
  </sheetViews>
  <sheetFormatPr defaultRowHeight="12.75" x14ac:dyDescent="0.2"/>
  <cols>
    <col min="1" max="1" width="59.42578125" customWidth="1"/>
    <col min="2" max="3" width="17.42578125" customWidth="1"/>
    <col min="4" max="4" width="19.7109375" customWidth="1"/>
    <col min="5" max="5" width="17.85546875" customWidth="1"/>
    <col min="6" max="6" width="14.5703125" customWidth="1"/>
    <col min="7" max="7" width="15.28515625" customWidth="1"/>
    <col min="8" max="8" width="15.42578125" customWidth="1"/>
    <col min="9" max="9" width="16.42578125" customWidth="1"/>
    <col min="10" max="10" width="17.5703125" customWidth="1"/>
  </cols>
  <sheetData>
    <row r="1" spans="1:10" ht="15.75" customHeight="1" x14ac:dyDescent="0.2">
      <c r="A1" s="904" t="s">
        <v>507</v>
      </c>
      <c r="B1" s="904"/>
      <c r="C1" s="904"/>
      <c r="D1" s="904"/>
      <c r="E1" s="904"/>
      <c r="F1" s="904"/>
      <c r="G1" s="904"/>
      <c r="H1" s="904"/>
      <c r="I1" s="904"/>
      <c r="J1" s="904"/>
    </row>
    <row r="2" spans="1:10" ht="12.75" customHeight="1" x14ac:dyDescent="0.2">
      <c r="A2" s="904"/>
      <c r="B2" s="904"/>
      <c r="C2" s="904"/>
      <c r="D2" s="904"/>
      <c r="E2" s="904"/>
      <c r="F2" s="904"/>
      <c r="G2" s="904"/>
      <c r="H2" s="904"/>
      <c r="I2" s="904"/>
      <c r="J2" s="904"/>
    </row>
    <row r="5" spans="1:10" ht="13.5" thickBot="1" x14ac:dyDescent="0.25"/>
    <row r="6" spans="1:10" ht="51.75" thickBot="1" x14ac:dyDescent="0.25">
      <c r="A6" s="905" t="s">
        <v>139</v>
      </c>
      <c r="B6" s="122" t="s">
        <v>118</v>
      </c>
      <c r="C6" s="122" t="s">
        <v>124</v>
      </c>
      <c r="D6" s="122" t="s">
        <v>137</v>
      </c>
      <c r="E6" s="122" t="s">
        <v>116</v>
      </c>
      <c r="F6" s="122" t="s">
        <v>138</v>
      </c>
      <c r="G6" s="122" t="s">
        <v>135</v>
      </c>
      <c r="H6" s="122" t="s">
        <v>126</v>
      </c>
      <c r="I6" s="122" t="s">
        <v>133</v>
      </c>
      <c r="J6" s="123" t="s">
        <v>13</v>
      </c>
    </row>
    <row r="7" spans="1:10" ht="13.5" thickBot="1" x14ac:dyDescent="0.25">
      <c r="A7" s="906"/>
      <c r="B7" s="160" t="s">
        <v>502</v>
      </c>
      <c r="C7" s="160" t="s">
        <v>502</v>
      </c>
      <c r="D7" s="160" t="s">
        <v>502</v>
      </c>
      <c r="E7" s="160" t="s">
        <v>502</v>
      </c>
      <c r="F7" s="160" t="s">
        <v>502</v>
      </c>
      <c r="G7" s="160" t="s">
        <v>502</v>
      </c>
      <c r="H7" s="160" t="s">
        <v>502</v>
      </c>
      <c r="I7" s="160" t="s">
        <v>502</v>
      </c>
      <c r="J7" s="160" t="s">
        <v>502</v>
      </c>
    </row>
    <row r="8" spans="1:10" x14ac:dyDescent="0.2">
      <c r="A8" s="428" t="s">
        <v>306</v>
      </c>
      <c r="B8" s="201">
        <v>0</v>
      </c>
      <c r="C8" s="201">
        <v>0</v>
      </c>
      <c r="D8" s="201">
        <v>0</v>
      </c>
      <c r="E8" s="202">
        <f>SUM(B8:D8)</f>
        <v>0</v>
      </c>
      <c r="F8" s="337">
        <v>0</v>
      </c>
      <c r="G8" s="337">
        <v>0</v>
      </c>
      <c r="H8" s="337">
        <v>0</v>
      </c>
      <c r="I8" s="434">
        <f>194000+20582200</f>
        <v>20776200</v>
      </c>
      <c r="J8" s="436">
        <f>SUM(B8:I8)</f>
        <v>20776200</v>
      </c>
    </row>
    <row r="9" spans="1:10" x14ac:dyDescent="0.2">
      <c r="A9" s="200" t="s">
        <v>149</v>
      </c>
      <c r="B9" s="201">
        <v>0</v>
      </c>
      <c r="C9" s="201">
        <v>0</v>
      </c>
      <c r="D9" s="201">
        <v>0</v>
      </c>
      <c r="E9" s="203">
        <v>935000</v>
      </c>
      <c r="F9" s="337">
        <v>0</v>
      </c>
      <c r="G9" s="337">
        <v>0</v>
      </c>
      <c r="H9" s="337">
        <v>0</v>
      </c>
      <c r="I9" s="434">
        <v>0</v>
      </c>
      <c r="J9" s="436">
        <f>SUM(B9:I9)</f>
        <v>935000</v>
      </c>
    </row>
    <row r="10" spans="1:10" x14ac:dyDescent="0.2">
      <c r="A10" s="200" t="s">
        <v>150</v>
      </c>
      <c r="B10" s="201">
        <v>0</v>
      </c>
      <c r="C10" s="201">
        <v>0</v>
      </c>
      <c r="D10" s="201">
        <v>0</v>
      </c>
      <c r="E10" s="202">
        <v>0</v>
      </c>
      <c r="F10" s="337">
        <v>0</v>
      </c>
      <c r="G10" s="337">
        <v>0</v>
      </c>
      <c r="H10" s="337">
        <v>0</v>
      </c>
      <c r="I10" s="434">
        <v>0</v>
      </c>
      <c r="J10" s="436">
        <f>SUM(B10:I10)</f>
        <v>0</v>
      </c>
    </row>
    <row r="11" spans="1:10" ht="13.5" thickBot="1" x14ac:dyDescent="0.25">
      <c r="A11" s="429" t="s">
        <v>151</v>
      </c>
      <c r="B11" s="422">
        <v>0</v>
      </c>
      <c r="C11" s="422">
        <v>0</v>
      </c>
      <c r="D11" s="422">
        <v>0</v>
      </c>
      <c r="E11" s="430">
        <f>SUM(B11:D11)</f>
        <v>0</v>
      </c>
      <c r="F11" s="431">
        <v>0</v>
      </c>
      <c r="G11" s="431">
        <v>0</v>
      </c>
      <c r="H11" s="431">
        <v>0</v>
      </c>
      <c r="I11" s="435"/>
      <c r="J11" s="437">
        <f>SUM(B11:I11)</f>
        <v>0</v>
      </c>
    </row>
    <row r="12" spans="1:10" s="84" customFormat="1" ht="13.5" thickBot="1" x14ac:dyDescent="0.25">
      <c r="A12" s="432" t="s">
        <v>81</v>
      </c>
      <c r="B12" s="433">
        <f>SUM(B8:B11)</f>
        <v>0</v>
      </c>
      <c r="C12" s="433">
        <f t="shared" ref="C12:J12" si="0">SUM(C8:C11)</f>
        <v>0</v>
      </c>
      <c r="D12" s="433">
        <f t="shared" si="0"/>
        <v>0</v>
      </c>
      <c r="E12" s="433">
        <f t="shared" si="0"/>
        <v>935000</v>
      </c>
      <c r="F12" s="433">
        <f t="shared" si="0"/>
        <v>0</v>
      </c>
      <c r="G12" s="433">
        <f t="shared" si="0"/>
        <v>0</v>
      </c>
      <c r="H12" s="433">
        <f t="shared" si="0"/>
        <v>0</v>
      </c>
      <c r="I12" s="433">
        <f t="shared" si="0"/>
        <v>20776200</v>
      </c>
      <c r="J12" s="433">
        <f t="shared" si="0"/>
        <v>21711200</v>
      </c>
    </row>
  </sheetData>
  <mergeCells count="2">
    <mergeCell ref="A6:A7"/>
    <mergeCell ref="A1:J2"/>
  </mergeCells>
  <phoneticPr fontId="38" type="noConversion"/>
  <pageMargins left="0.75" right="0.75" top="1" bottom="1" header="0.5" footer="0.5"/>
  <pageSetup paperSize="9" scale="62" orientation="landscape" r:id="rId1"/>
  <headerFooter alignWithMargins="0">
    <oddHeader>&amp;R8. sz. melléklete
........./2025.(II.13.) Egyek Önk.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Normal="100" workbookViewId="0">
      <selection activeCell="H22" sqref="H22"/>
    </sheetView>
  </sheetViews>
  <sheetFormatPr defaultRowHeight="12.75" x14ac:dyDescent="0.2"/>
  <cols>
    <col min="1" max="1" width="58.5703125" customWidth="1"/>
    <col min="2" max="3" width="17.42578125" customWidth="1"/>
    <col min="4" max="4" width="14" customWidth="1"/>
    <col min="5" max="5" width="15.140625" customWidth="1"/>
    <col min="6" max="6" width="12" customWidth="1"/>
    <col min="7" max="7" width="11.5703125" customWidth="1"/>
    <col min="8" max="8" width="13.28515625" customWidth="1"/>
    <col min="9" max="9" width="14.7109375" customWidth="1"/>
    <col min="10" max="10" width="15.28515625" customWidth="1"/>
  </cols>
  <sheetData>
    <row r="1" spans="1:10" ht="15.75" customHeight="1" x14ac:dyDescent="0.2">
      <c r="A1" s="904" t="s">
        <v>508</v>
      </c>
      <c r="B1" s="904"/>
      <c r="C1" s="904"/>
      <c r="D1" s="904"/>
      <c r="E1" s="904"/>
      <c r="F1" s="904"/>
      <c r="G1" s="904"/>
      <c r="H1" s="904"/>
      <c r="I1" s="904"/>
      <c r="J1" s="904"/>
    </row>
    <row r="2" spans="1:10" ht="12.75" customHeight="1" x14ac:dyDescent="0.2">
      <c r="A2" s="904"/>
      <c r="B2" s="904"/>
      <c r="C2" s="904"/>
      <c r="D2" s="904"/>
      <c r="E2" s="904"/>
      <c r="F2" s="904"/>
      <c r="G2" s="904"/>
      <c r="H2" s="904"/>
      <c r="I2" s="904"/>
      <c r="J2" s="904"/>
    </row>
    <row r="5" spans="1:10" ht="13.5" thickBot="1" x14ac:dyDescent="0.25"/>
    <row r="6" spans="1:10" ht="64.5" thickBot="1" x14ac:dyDescent="0.25">
      <c r="A6" s="905" t="s">
        <v>139</v>
      </c>
      <c r="B6" s="122" t="s">
        <v>118</v>
      </c>
      <c r="C6" s="122" t="s">
        <v>124</v>
      </c>
      <c r="D6" s="122" t="s">
        <v>137</v>
      </c>
      <c r="E6" s="122" t="s">
        <v>116</v>
      </c>
      <c r="F6" s="122" t="s">
        <v>138</v>
      </c>
      <c r="G6" s="122" t="s">
        <v>135</v>
      </c>
      <c r="H6" s="122" t="s">
        <v>126</v>
      </c>
      <c r="I6" s="122" t="s">
        <v>133</v>
      </c>
      <c r="J6" s="123" t="s">
        <v>13</v>
      </c>
    </row>
    <row r="7" spans="1:10" ht="13.5" thickBot="1" x14ac:dyDescent="0.25">
      <c r="A7" s="906"/>
      <c r="B7" s="160" t="s">
        <v>502</v>
      </c>
      <c r="C7" s="160" t="s">
        <v>502</v>
      </c>
      <c r="D7" s="160" t="s">
        <v>502</v>
      </c>
      <c r="E7" s="160" t="s">
        <v>502</v>
      </c>
      <c r="F7" s="160" t="s">
        <v>502</v>
      </c>
      <c r="G7" s="160" t="s">
        <v>502</v>
      </c>
      <c r="H7" s="160" t="s">
        <v>502</v>
      </c>
      <c r="I7" s="160" t="s">
        <v>502</v>
      </c>
      <c r="J7" s="160" t="s">
        <v>502</v>
      </c>
    </row>
    <row r="8" spans="1:10" x14ac:dyDescent="0.2">
      <c r="A8" s="428" t="s">
        <v>306</v>
      </c>
      <c r="B8" s="201">
        <v>0</v>
      </c>
      <c r="C8" s="201">
        <v>0</v>
      </c>
      <c r="D8" s="201">
        <v>0</v>
      </c>
      <c r="E8" s="202">
        <f>SUM(B8:D8)</f>
        <v>0</v>
      </c>
      <c r="F8" s="337">
        <v>0</v>
      </c>
      <c r="G8" s="337">
        <v>0</v>
      </c>
      <c r="H8" s="337">
        <v>0</v>
      </c>
      <c r="I8" s="434">
        <f>194000+20582200</f>
        <v>20776200</v>
      </c>
      <c r="J8" s="436">
        <f>SUM(B8:I8)</f>
        <v>20776200</v>
      </c>
    </row>
    <row r="9" spans="1:10" x14ac:dyDescent="0.2">
      <c r="A9" s="200" t="s">
        <v>149</v>
      </c>
      <c r="B9" s="201">
        <v>0</v>
      </c>
      <c r="C9" s="201">
        <v>0</v>
      </c>
      <c r="D9" s="201">
        <v>0</v>
      </c>
      <c r="E9" s="203">
        <v>935000</v>
      </c>
      <c r="F9" s="337">
        <v>0</v>
      </c>
      <c r="G9" s="337">
        <v>0</v>
      </c>
      <c r="H9" s="337">
        <v>0</v>
      </c>
      <c r="I9" s="434">
        <v>0</v>
      </c>
      <c r="J9" s="436">
        <f>SUM(B9:I9)</f>
        <v>935000</v>
      </c>
    </row>
    <row r="10" spans="1:10" x14ac:dyDescent="0.2">
      <c r="A10" s="200" t="s">
        <v>150</v>
      </c>
      <c r="B10" s="201">
        <v>0</v>
      </c>
      <c r="C10" s="201">
        <v>0</v>
      </c>
      <c r="D10" s="201">
        <v>0</v>
      </c>
      <c r="E10" s="202">
        <v>0</v>
      </c>
      <c r="F10" s="337">
        <v>0</v>
      </c>
      <c r="G10" s="337">
        <v>0</v>
      </c>
      <c r="H10" s="337">
        <v>0</v>
      </c>
      <c r="I10" s="434">
        <v>0</v>
      </c>
      <c r="J10" s="436">
        <f>SUM(B10:I10)</f>
        <v>0</v>
      </c>
    </row>
    <row r="11" spans="1:10" ht="13.5" thickBot="1" x14ac:dyDescent="0.25">
      <c r="A11" s="429" t="s">
        <v>151</v>
      </c>
      <c r="B11" s="422">
        <v>0</v>
      </c>
      <c r="C11" s="422">
        <v>0</v>
      </c>
      <c r="D11" s="422">
        <v>0</v>
      </c>
      <c r="E11" s="430">
        <f>SUM(B11:D11)</f>
        <v>0</v>
      </c>
      <c r="F11" s="431">
        <v>0</v>
      </c>
      <c r="G11" s="431">
        <v>0</v>
      </c>
      <c r="H11" s="431">
        <v>0</v>
      </c>
      <c r="I11" s="435"/>
      <c r="J11" s="437">
        <f>SUM(B11:I11)</f>
        <v>0</v>
      </c>
    </row>
    <row r="12" spans="1:10" s="84" customFormat="1" ht="13.5" thickBot="1" x14ac:dyDescent="0.25">
      <c r="A12" s="432" t="s">
        <v>81</v>
      </c>
      <c r="B12" s="433">
        <f>SUM(B8:B11)</f>
        <v>0</v>
      </c>
      <c r="C12" s="433">
        <f t="shared" ref="C12:J12" si="0">SUM(C8:C11)</f>
        <v>0</v>
      </c>
      <c r="D12" s="433">
        <f t="shared" si="0"/>
        <v>0</v>
      </c>
      <c r="E12" s="433">
        <f t="shared" si="0"/>
        <v>935000</v>
      </c>
      <c r="F12" s="433">
        <f t="shared" si="0"/>
        <v>0</v>
      </c>
      <c r="G12" s="433">
        <f t="shared" si="0"/>
        <v>0</v>
      </c>
      <c r="H12" s="433">
        <f t="shared" si="0"/>
        <v>0</v>
      </c>
      <c r="I12" s="433">
        <f t="shared" si="0"/>
        <v>20776200</v>
      </c>
      <c r="J12" s="433">
        <f t="shared" si="0"/>
        <v>21711200</v>
      </c>
    </row>
    <row r="16" spans="1:10" ht="13.5" thickBot="1" x14ac:dyDescent="0.25"/>
    <row r="17" spans="1:1" ht="13.5" thickBot="1" x14ac:dyDescent="0.25">
      <c r="A17" s="438"/>
    </row>
  </sheetData>
  <mergeCells count="2">
    <mergeCell ref="A6:A7"/>
    <mergeCell ref="A1:J2"/>
  </mergeCells>
  <phoneticPr fontId="38" type="noConversion"/>
  <pageMargins left="0.75" right="0.75" top="1" bottom="1" header="0.5" footer="0.5"/>
  <pageSetup paperSize="9" scale="70" orientation="landscape" r:id="rId1"/>
  <headerFooter alignWithMargins="0">
    <oddHeader>&amp;R9. sz. melléklete
........./2025.(II.13.) Egyek Önk.</oddHeader>
  </headerFooter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pageSetUpPr fitToPage="1"/>
  </sheetPr>
  <dimension ref="A1:K171"/>
  <sheetViews>
    <sheetView topLeftCell="A10" zoomScale="140" zoomScaleNormal="140" workbookViewId="0">
      <selection activeCell="H23" sqref="H23"/>
    </sheetView>
  </sheetViews>
  <sheetFormatPr defaultRowHeight="12.75" x14ac:dyDescent="0.2"/>
  <cols>
    <col min="5" max="5" width="30.42578125" customWidth="1"/>
    <col min="6" max="6" width="11.28515625" style="109" customWidth="1"/>
    <col min="7" max="7" width="16.7109375" customWidth="1"/>
    <col min="8" max="8" width="17.85546875" style="104" customWidth="1"/>
    <col min="9" max="9" width="15.28515625" customWidth="1"/>
    <col min="10" max="10" width="15.42578125" style="860" customWidth="1"/>
    <col min="11" max="11" width="10.7109375" bestFit="1" customWidth="1"/>
    <col min="12" max="12" width="12" customWidth="1"/>
  </cols>
  <sheetData>
    <row r="1" spans="1:11" x14ac:dyDescent="0.2">
      <c r="F1" s="623"/>
    </row>
    <row r="2" spans="1:11" ht="15.75" x14ac:dyDescent="0.25">
      <c r="A2" s="916" t="s">
        <v>509</v>
      </c>
      <c r="B2" s="916"/>
      <c r="C2" s="916"/>
      <c r="D2" s="916"/>
      <c r="E2" s="916"/>
      <c r="F2" s="916"/>
      <c r="G2" s="916"/>
      <c r="H2" s="916"/>
    </row>
    <row r="3" spans="1:11" ht="13.5" thickBot="1" x14ac:dyDescent="0.25">
      <c r="F3" s="623"/>
    </row>
    <row r="4" spans="1:11" ht="13.5" customHeight="1" thickBot="1" x14ac:dyDescent="0.25">
      <c r="A4" s="923" t="s">
        <v>28</v>
      </c>
      <c r="B4" s="923"/>
      <c r="C4" s="923"/>
      <c r="D4" s="923"/>
      <c r="E4" s="923"/>
      <c r="F4" s="919" t="s">
        <v>510</v>
      </c>
      <c r="G4" s="919"/>
      <c r="H4" s="919"/>
      <c r="I4" s="14"/>
    </row>
    <row r="5" spans="1:11" ht="13.5" thickBot="1" x14ac:dyDescent="0.25">
      <c r="A5" s="923"/>
      <c r="B5" s="923"/>
      <c r="C5" s="923"/>
      <c r="D5" s="923"/>
      <c r="E5" s="923"/>
      <c r="F5" s="920" t="s">
        <v>16</v>
      </c>
      <c r="G5" s="921" t="s">
        <v>26</v>
      </c>
      <c r="H5" s="922"/>
      <c r="I5" s="9"/>
    </row>
    <row r="6" spans="1:11" ht="13.5" thickBot="1" x14ac:dyDescent="0.25">
      <c r="A6" s="923"/>
      <c r="B6" s="923"/>
      <c r="C6" s="923"/>
      <c r="D6" s="923"/>
      <c r="E6" s="923"/>
      <c r="F6" s="920"/>
      <c r="G6" s="19" t="s">
        <v>281</v>
      </c>
      <c r="H6" s="103" t="s">
        <v>27</v>
      </c>
      <c r="I6" s="9"/>
    </row>
    <row r="7" spans="1:11" s="174" customFormat="1" ht="15.75" thickBot="1" x14ac:dyDescent="0.3">
      <c r="A7" s="924" t="s">
        <v>106</v>
      </c>
      <c r="B7" s="925"/>
      <c r="C7" s="925"/>
      <c r="D7" s="925"/>
      <c r="E7" s="925"/>
      <c r="F7" s="925"/>
      <c r="G7" s="926"/>
      <c r="H7" s="172">
        <f>H15+H18+H20+H23</f>
        <v>330516030</v>
      </c>
      <c r="I7" s="173"/>
      <c r="J7" s="861"/>
    </row>
    <row r="8" spans="1:11" s="170" customFormat="1" ht="24.75" customHeight="1" x14ac:dyDescent="0.2">
      <c r="A8" s="917" t="s">
        <v>361</v>
      </c>
      <c r="B8" s="918"/>
      <c r="C8" s="918"/>
      <c r="D8" s="918"/>
      <c r="E8" s="918"/>
      <c r="F8" s="601"/>
      <c r="G8" s="602"/>
      <c r="H8" s="603">
        <v>158610884</v>
      </c>
      <c r="I8" s="169"/>
      <c r="J8" s="862"/>
    </row>
    <row r="9" spans="1:11" x14ac:dyDescent="0.2">
      <c r="A9" s="933" t="s">
        <v>370</v>
      </c>
      <c r="B9" s="934"/>
      <c r="C9" s="934"/>
      <c r="D9" s="934"/>
      <c r="E9" s="934"/>
      <c r="F9" s="144"/>
      <c r="G9" s="204"/>
      <c r="H9" s="604">
        <v>13538802</v>
      </c>
      <c r="I9" s="6"/>
    </row>
    <row r="10" spans="1:11" x14ac:dyDescent="0.2">
      <c r="A10" s="935" t="s">
        <v>371</v>
      </c>
      <c r="B10" s="936"/>
      <c r="C10" s="936"/>
      <c r="D10" s="936"/>
      <c r="E10" s="937"/>
      <c r="F10" s="144"/>
      <c r="G10" s="204"/>
      <c r="H10" s="604">
        <f>13366500+12240000</f>
        <v>25606500</v>
      </c>
      <c r="I10" s="6"/>
    </row>
    <row r="11" spans="1:11" x14ac:dyDescent="0.2">
      <c r="A11" s="933" t="s">
        <v>372</v>
      </c>
      <c r="B11" s="934"/>
      <c r="C11" s="934"/>
      <c r="D11" s="934"/>
      <c r="E11" s="934"/>
      <c r="F11" s="144"/>
      <c r="G11" s="204"/>
      <c r="H11" s="604">
        <v>3337869</v>
      </c>
      <c r="I11" s="6"/>
    </row>
    <row r="12" spans="1:11" x14ac:dyDescent="0.2">
      <c r="A12" s="933" t="s">
        <v>373</v>
      </c>
      <c r="B12" s="934"/>
      <c r="C12" s="934"/>
      <c r="D12" s="934"/>
      <c r="E12" s="934"/>
      <c r="F12" s="144"/>
      <c r="G12" s="204"/>
      <c r="H12" s="604">
        <v>11261602</v>
      </c>
      <c r="I12" s="6"/>
    </row>
    <row r="13" spans="1:11" s="84" customFormat="1" ht="13.5" x14ac:dyDescent="0.25">
      <c r="A13" s="944" t="s">
        <v>362</v>
      </c>
      <c r="B13" s="945"/>
      <c r="C13" s="945"/>
      <c r="D13" s="945"/>
      <c r="E13" s="945"/>
      <c r="F13" s="599"/>
      <c r="G13" s="600"/>
      <c r="H13" s="605">
        <v>19152881</v>
      </c>
      <c r="I13" s="171"/>
      <c r="J13" s="863"/>
      <c r="K13" s="492"/>
    </row>
    <row r="14" spans="1:11" s="84" customFormat="1" ht="13.5" x14ac:dyDescent="0.25">
      <c r="A14" s="944" t="s">
        <v>363</v>
      </c>
      <c r="B14" s="945"/>
      <c r="C14" s="945"/>
      <c r="D14" s="945"/>
      <c r="E14" s="945"/>
      <c r="F14" s="599"/>
      <c r="G14" s="600"/>
      <c r="H14" s="605">
        <v>260685</v>
      </c>
      <c r="I14" s="171"/>
      <c r="J14" s="863"/>
      <c r="K14" s="492"/>
    </row>
    <row r="15" spans="1:11" s="84" customFormat="1" ht="26.25" customHeight="1" thickBot="1" x14ac:dyDescent="0.3">
      <c r="A15" s="946" t="s">
        <v>369</v>
      </c>
      <c r="B15" s="947"/>
      <c r="C15" s="947"/>
      <c r="D15" s="947"/>
      <c r="E15" s="947"/>
      <c r="F15" s="947"/>
      <c r="G15" s="947"/>
      <c r="H15" s="608">
        <f>H8+H9+H10+H11+H12+H13+H14</f>
        <v>231769223</v>
      </c>
      <c r="I15" s="171"/>
      <c r="J15" s="863"/>
    </row>
    <row r="16" spans="1:11" s="84" customFormat="1" ht="28.5" customHeight="1" x14ac:dyDescent="0.25">
      <c r="A16" s="942" t="s">
        <v>394</v>
      </c>
      <c r="B16" s="943"/>
      <c r="C16" s="943"/>
      <c r="D16" s="943"/>
      <c r="E16" s="943"/>
      <c r="F16" s="609"/>
      <c r="G16" s="610"/>
      <c r="H16" s="611">
        <v>61519055</v>
      </c>
      <c r="I16" s="171"/>
      <c r="J16" s="863"/>
    </row>
    <row r="17" spans="1:10" s="84" customFormat="1" ht="13.5" x14ac:dyDescent="0.25">
      <c r="A17" s="940" t="s">
        <v>365</v>
      </c>
      <c r="B17" s="941"/>
      <c r="C17" s="941"/>
      <c r="D17" s="941"/>
      <c r="E17" s="941"/>
      <c r="F17" s="599" t="s">
        <v>152</v>
      </c>
      <c r="G17" s="606">
        <v>6343500</v>
      </c>
      <c r="H17" s="607">
        <v>6343500</v>
      </c>
      <c r="I17" s="171"/>
      <c r="J17" s="863"/>
    </row>
    <row r="18" spans="1:10" s="84" customFormat="1" ht="32.25" customHeight="1" thickBot="1" x14ac:dyDescent="0.3">
      <c r="A18" s="927" t="s">
        <v>366</v>
      </c>
      <c r="B18" s="928"/>
      <c r="C18" s="928"/>
      <c r="D18" s="928"/>
      <c r="E18" s="928"/>
      <c r="F18" s="928"/>
      <c r="G18" s="928"/>
      <c r="H18" s="612">
        <f>SUM(H16:H17)</f>
        <v>67862555</v>
      </c>
      <c r="I18" s="171"/>
      <c r="J18" s="863"/>
    </row>
    <row r="19" spans="1:10" s="84" customFormat="1" ht="16.5" customHeight="1" x14ac:dyDescent="0.25">
      <c r="A19" s="938" t="s">
        <v>364</v>
      </c>
      <c r="B19" s="939"/>
      <c r="C19" s="939"/>
      <c r="D19" s="939"/>
      <c r="E19" s="939"/>
      <c r="F19" s="613">
        <v>13624</v>
      </c>
      <c r="G19" s="614">
        <v>570</v>
      </c>
      <c r="H19" s="615">
        <f>F19*G19</f>
        <v>7765680</v>
      </c>
      <c r="I19" s="171"/>
      <c r="J19" s="863"/>
    </row>
    <row r="20" spans="1:10" s="84" customFormat="1" ht="34.5" customHeight="1" thickBot="1" x14ac:dyDescent="0.3">
      <c r="A20" s="927" t="s">
        <v>368</v>
      </c>
      <c r="B20" s="928"/>
      <c r="C20" s="928"/>
      <c r="D20" s="928"/>
      <c r="E20" s="928"/>
      <c r="F20" s="928"/>
      <c r="G20" s="928"/>
      <c r="H20" s="612">
        <f>SUM(H19)</f>
        <v>7765680</v>
      </c>
      <c r="I20" s="171"/>
      <c r="J20" s="863"/>
    </row>
    <row r="21" spans="1:10" ht="27" customHeight="1" x14ac:dyDescent="0.2">
      <c r="A21" s="931" t="s">
        <v>395</v>
      </c>
      <c r="B21" s="932"/>
      <c r="C21" s="932"/>
      <c r="D21" s="932"/>
      <c r="E21" s="932"/>
      <c r="F21" s="616">
        <v>5286</v>
      </c>
      <c r="G21" s="617">
        <v>2213</v>
      </c>
      <c r="H21" s="615">
        <f>F21*G21</f>
        <v>11697918</v>
      </c>
      <c r="I21" s="6"/>
    </row>
    <row r="22" spans="1:10" ht="27" customHeight="1" x14ac:dyDescent="0.2">
      <c r="A22" s="913" t="s">
        <v>553</v>
      </c>
      <c r="B22" s="914"/>
      <c r="C22" s="914"/>
      <c r="D22" s="914"/>
      <c r="E22" s="915"/>
      <c r="F22" s="649"/>
      <c r="G22" s="650"/>
      <c r="H22" s="651">
        <v>11420654</v>
      </c>
      <c r="I22" s="6"/>
    </row>
    <row r="23" spans="1:10" ht="18" customHeight="1" thickBot="1" x14ac:dyDescent="0.25">
      <c r="A23" s="929" t="s">
        <v>367</v>
      </c>
      <c r="B23" s="930"/>
      <c r="C23" s="930"/>
      <c r="D23" s="930"/>
      <c r="E23" s="930"/>
      <c r="F23" s="930"/>
      <c r="G23" s="930"/>
      <c r="H23" s="608">
        <f>SUM(H21:H22)</f>
        <v>23118572</v>
      </c>
      <c r="I23" s="6"/>
    </row>
    <row r="24" spans="1:10" ht="24.75" customHeight="1" thickBot="1" x14ac:dyDescent="0.25">
      <c r="A24" s="908" t="s">
        <v>445</v>
      </c>
      <c r="B24" s="909"/>
      <c r="C24" s="909"/>
      <c r="D24" s="909"/>
      <c r="E24" s="909"/>
      <c r="F24" s="909"/>
      <c r="G24" s="910"/>
      <c r="H24" s="729">
        <f>H15+H18+H20+H23</f>
        <v>330516030</v>
      </c>
      <c r="I24" s="6"/>
    </row>
    <row r="25" spans="1:10" x14ac:dyDescent="0.2">
      <c r="A25" s="16"/>
      <c r="B25" s="5"/>
      <c r="C25" s="8"/>
      <c r="D25" s="5"/>
      <c r="E25" s="5"/>
      <c r="F25" s="111"/>
      <c r="G25" s="6"/>
      <c r="H25" s="911"/>
      <c r="I25" s="6"/>
    </row>
    <row r="26" spans="1:10" x14ac:dyDescent="0.2">
      <c r="A26" s="16"/>
      <c r="B26" s="5"/>
      <c r="C26" s="5"/>
      <c r="D26" s="5"/>
      <c r="E26" s="5"/>
      <c r="F26" s="111"/>
      <c r="G26" s="6"/>
      <c r="H26" s="912"/>
      <c r="I26" s="6"/>
    </row>
    <row r="27" spans="1:10" x14ac:dyDescent="0.2">
      <c r="A27" s="16"/>
      <c r="B27" s="11"/>
      <c r="C27" s="11"/>
      <c r="D27" s="11"/>
      <c r="E27" s="11"/>
      <c r="F27" s="112"/>
      <c r="G27" s="12"/>
      <c r="H27" s="912"/>
      <c r="I27" s="12"/>
    </row>
    <row r="28" spans="1:10" x14ac:dyDescent="0.2">
      <c r="A28" s="16"/>
      <c r="B28" s="11"/>
      <c r="C28" s="5"/>
      <c r="D28" s="5"/>
      <c r="E28" s="5"/>
      <c r="F28" s="111"/>
      <c r="G28" s="6"/>
      <c r="H28" s="912"/>
      <c r="I28" s="6"/>
    </row>
    <row r="29" spans="1:10" x14ac:dyDescent="0.2">
      <c r="A29" s="16"/>
      <c r="B29" s="11"/>
      <c r="C29" s="11"/>
      <c r="D29" s="11"/>
      <c r="E29" s="11"/>
      <c r="F29" s="112"/>
      <c r="G29" s="12"/>
      <c r="H29" s="912"/>
      <c r="I29" s="12"/>
    </row>
    <row r="30" spans="1:10" x14ac:dyDescent="0.2">
      <c r="A30" s="17"/>
      <c r="B30" s="5"/>
      <c r="C30" s="5"/>
      <c r="D30" s="5"/>
      <c r="E30" s="5"/>
      <c r="F30" s="111"/>
      <c r="G30" s="6"/>
      <c r="H30" s="912"/>
      <c r="I30" s="6"/>
    </row>
    <row r="31" spans="1:10" x14ac:dyDescent="0.2">
      <c r="A31" s="17"/>
      <c r="B31" s="5"/>
      <c r="C31" s="5"/>
      <c r="D31" s="5"/>
      <c r="E31" s="5"/>
      <c r="F31" s="111"/>
      <c r="G31" s="6"/>
      <c r="H31" s="912"/>
      <c r="I31" s="6"/>
    </row>
    <row r="32" spans="1:10" x14ac:dyDescent="0.2">
      <c r="A32" s="17"/>
      <c r="B32" s="5"/>
      <c r="C32" s="5"/>
      <c r="D32" s="5"/>
      <c r="E32" s="5"/>
      <c r="F32" s="111"/>
      <c r="G32" s="6"/>
      <c r="H32" s="912"/>
      <c r="I32" s="6"/>
    </row>
    <row r="33" spans="1:9" x14ac:dyDescent="0.2">
      <c r="A33" s="17"/>
      <c r="B33" s="5"/>
      <c r="C33" s="5"/>
      <c r="D33" s="5"/>
      <c r="E33" s="5"/>
      <c r="F33" s="111"/>
      <c r="G33" s="6"/>
      <c r="H33" s="912"/>
      <c r="I33" s="6"/>
    </row>
    <row r="34" spans="1:9" x14ac:dyDescent="0.2">
      <c r="A34" s="18"/>
      <c r="B34" s="11"/>
      <c r="C34" s="11"/>
      <c r="D34" s="11"/>
      <c r="E34" s="11"/>
      <c r="F34" s="112"/>
      <c r="G34" s="12"/>
      <c r="H34" s="912"/>
      <c r="I34" s="12"/>
    </row>
    <row r="35" spans="1:9" x14ac:dyDescent="0.2">
      <c r="A35" s="17"/>
      <c r="B35" s="5"/>
      <c r="C35" s="5"/>
      <c r="D35" s="5"/>
      <c r="E35" s="5"/>
      <c r="F35" s="111"/>
      <c r="G35" s="6"/>
      <c r="H35" s="912"/>
      <c r="I35" s="6"/>
    </row>
    <row r="36" spans="1:9" x14ac:dyDescent="0.2">
      <c r="A36" s="17"/>
      <c r="B36" s="5"/>
      <c r="C36" s="5"/>
      <c r="D36" s="5"/>
      <c r="E36" s="5"/>
      <c r="F36" s="111"/>
      <c r="G36" s="6"/>
      <c r="H36" s="912"/>
      <c r="I36" s="6"/>
    </row>
    <row r="37" spans="1:9" x14ac:dyDescent="0.2">
      <c r="A37" s="18"/>
      <c r="B37" s="11"/>
      <c r="C37" s="11"/>
      <c r="D37" s="11"/>
      <c r="E37" s="11"/>
      <c r="F37" s="112"/>
      <c r="G37" s="12"/>
      <c r="H37" s="912"/>
      <c r="I37" s="12"/>
    </row>
    <row r="38" spans="1:9" x14ac:dyDescent="0.2">
      <c r="A38" s="17"/>
      <c r="B38" s="5"/>
      <c r="C38" s="5"/>
      <c r="D38" s="5"/>
      <c r="E38" s="5"/>
      <c r="F38" s="111"/>
      <c r="G38" s="6"/>
      <c r="H38" s="912"/>
      <c r="I38" s="6"/>
    </row>
    <row r="39" spans="1:9" x14ac:dyDescent="0.2">
      <c r="A39" s="17"/>
      <c r="B39" s="5"/>
      <c r="C39" s="5"/>
      <c r="D39" s="5"/>
      <c r="E39" s="5"/>
      <c r="F39" s="111"/>
      <c r="G39" s="6"/>
      <c r="H39" s="912"/>
      <c r="I39" s="6"/>
    </row>
    <row r="40" spans="1:9" x14ac:dyDescent="0.2">
      <c r="A40" s="11"/>
      <c r="B40" s="1"/>
      <c r="C40" s="11"/>
      <c r="D40" s="11"/>
      <c r="E40" s="11"/>
      <c r="F40" s="112"/>
      <c r="G40" s="12"/>
      <c r="H40" s="912"/>
      <c r="I40" s="12"/>
    </row>
    <row r="41" spans="1:9" x14ac:dyDescent="0.2">
      <c r="A41" s="16"/>
      <c r="B41" s="1"/>
      <c r="C41" s="1"/>
      <c r="D41" s="1"/>
      <c r="E41" s="1"/>
      <c r="F41" s="113"/>
      <c r="G41" s="3"/>
      <c r="H41" s="912"/>
      <c r="I41" s="3"/>
    </row>
    <row r="42" spans="1:9" x14ac:dyDescent="0.2">
      <c r="H42" s="912"/>
    </row>
    <row r="43" spans="1:9" x14ac:dyDescent="0.2">
      <c r="H43" s="912"/>
    </row>
    <row r="44" spans="1:9" x14ac:dyDescent="0.2">
      <c r="H44" s="912"/>
    </row>
    <row r="45" spans="1:9" x14ac:dyDescent="0.2">
      <c r="H45" s="912"/>
    </row>
    <row r="46" spans="1:9" x14ac:dyDescent="0.2">
      <c r="H46" s="912"/>
    </row>
    <row r="47" spans="1:9" x14ac:dyDescent="0.2">
      <c r="H47" s="912"/>
    </row>
    <row r="48" spans="1:9" x14ac:dyDescent="0.2">
      <c r="H48" s="912"/>
    </row>
    <row r="49" spans="8:8" x14ac:dyDescent="0.2">
      <c r="H49" s="912"/>
    </row>
    <row r="50" spans="8:8" x14ac:dyDescent="0.2">
      <c r="H50" s="912"/>
    </row>
    <row r="51" spans="8:8" x14ac:dyDescent="0.2">
      <c r="H51" s="912"/>
    </row>
    <row r="52" spans="8:8" x14ac:dyDescent="0.2">
      <c r="H52" s="912"/>
    </row>
    <row r="53" spans="8:8" x14ac:dyDescent="0.2">
      <c r="H53" s="912"/>
    </row>
    <row r="54" spans="8:8" x14ac:dyDescent="0.2">
      <c r="H54" s="912"/>
    </row>
    <row r="55" spans="8:8" x14ac:dyDescent="0.2">
      <c r="H55" s="912"/>
    </row>
    <row r="56" spans="8:8" x14ac:dyDescent="0.2">
      <c r="H56" s="912"/>
    </row>
    <row r="57" spans="8:8" x14ac:dyDescent="0.2">
      <c r="H57" s="912"/>
    </row>
    <row r="58" spans="8:8" x14ac:dyDescent="0.2">
      <c r="H58" s="912"/>
    </row>
    <row r="59" spans="8:8" x14ac:dyDescent="0.2">
      <c r="H59" s="912"/>
    </row>
    <row r="60" spans="8:8" x14ac:dyDescent="0.2">
      <c r="H60" s="912"/>
    </row>
    <row r="61" spans="8:8" x14ac:dyDescent="0.2">
      <c r="H61" s="912"/>
    </row>
    <row r="62" spans="8:8" x14ac:dyDescent="0.2">
      <c r="H62" s="912"/>
    </row>
    <row r="63" spans="8:8" x14ac:dyDescent="0.2">
      <c r="H63" s="912"/>
    </row>
    <row r="64" spans="8:8" x14ac:dyDescent="0.2">
      <c r="H64" s="912"/>
    </row>
    <row r="65" spans="8:8" x14ac:dyDescent="0.2">
      <c r="H65" s="912"/>
    </row>
    <row r="66" spans="8:8" x14ac:dyDescent="0.2">
      <c r="H66" s="912"/>
    </row>
    <row r="67" spans="8:8" x14ac:dyDescent="0.2">
      <c r="H67" s="912"/>
    </row>
    <row r="68" spans="8:8" x14ac:dyDescent="0.2">
      <c r="H68" s="912"/>
    </row>
    <row r="69" spans="8:8" x14ac:dyDescent="0.2">
      <c r="H69" s="912"/>
    </row>
    <row r="70" spans="8:8" x14ac:dyDescent="0.2">
      <c r="H70" s="912"/>
    </row>
    <row r="71" spans="8:8" x14ac:dyDescent="0.2">
      <c r="H71" s="912"/>
    </row>
    <row r="72" spans="8:8" x14ac:dyDescent="0.2">
      <c r="H72" s="912"/>
    </row>
    <row r="73" spans="8:8" x14ac:dyDescent="0.2">
      <c r="H73" s="912"/>
    </row>
    <row r="74" spans="8:8" x14ac:dyDescent="0.2">
      <c r="H74" s="912"/>
    </row>
    <row r="75" spans="8:8" x14ac:dyDescent="0.2">
      <c r="H75" s="912"/>
    </row>
    <row r="76" spans="8:8" x14ac:dyDescent="0.2">
      <c r="H76" s="912"/>
    </row>
    <row r="77" spans="8:8" x14ac:dyDescent="0.2">
      <c r="H77" s="912"/>
    </row>
    <row r="78" spans="8:8" x14ac:dyDescent="0.2">
      <c r="H78" s="912"/>
    </row>
    <row r="79" spans="8:8" x14ac:dyDescent="0.2">
      <c r="H79" s="912"/>
    </row>
    <row r="80" spans="8:8" x14ac:dyDescent="0.2">
      <c r="H80" s="912"/>
    </row>
    <row r="81" spans="8:8" x14ac:dyDescent="0.2">
      <c r="H81" s="912"/>
    </row>
    <row r="82" spans="8:8" x14ac:dyDescent="0.2">
      <c r="H82" s="912"/>
    </row>
    <row r="83" spans="8:8" x14ac:dyDescent="0.2">
      <c r="H83" s="912"/>
    </row>
    <row r="84" spans="8:8" x14ac:dyDescent="0.2">
      <c r="H84" s="912"/>
    </row>
    <row r="85" spans="8:8" x14ac:dyDescent="0.2">
      <c r="H85" s="912"/>
    </row>
    <row r="86" spans="8:8" x14ac:dyDescent="0.2">
      <c r="H86" s="912"/>
    </row>
    <row r="87" spans="8:8" x14ac:dyDescent="0.2">
      <c r="H87" s="912"/>
    </row>
    <row r="88" spans="8:8" x14ac:dyDescent="0.2">
      <c r="H88" s="912"/>
    </row>
    <row r="89" spans="8:8" x14ac:dyDescent="0.2">
      <c r="H89" s="912"/>
    </row>
    <row r="90" spans="8:8" x14ac:dyDescent="0.2">
      <c r="H90" s="912"/>
    </row>
    <row r="91" spans="8:8" x14ac:dyDescent="0.2">
      <c r="H91" s="912"/>
    </row>
    <row r="92" spans="8:8" x14ac:dyDescent="0.2">
      <c r="H92" s="912"/>
    </row>
    <row r="93" spans="8:8" x14ac:dyDescent="0.2">
      <c r="H93" s="912"/>
    </row>
    <row r="94" spans="8:8" x14ac:dyDescent="0.2">
      <c r="H94" s="912"/>
    </row>
    <row r="95" spans="8:8" x14ac:dyDescent="0.2">
      <c r="H95" s="912"/>
    </row>
    <row r="96" spans="8:8" x14ac:dyDescent="0.2">
      <c r="H96" s="912"/>
    </row>
    <row r="97" spans="8:8" x14ac:dyDescent="0.2">
      <c r="H97" s="912"/>
    </row>
    <row r="98" spans="8:8" x14ac:dyDescent="0.2">
      <c r="H98" s="912"/>
    </row>
    <row r="99" spans="8:8" x14ac:dyDescent="0.2">
      <c r="H99" s="912"/>
    </row>
    <row r="100" spans="8:8" x14ac:dyDescent="0.2">
      <c r="H100" s="912"/>
    </row>
    <row r="101" spans="8:8" x14ac:dyDescent="0.2">
      <c r="H101" s="912"/>
    </row>
    <row r="102" spans="8:8" x14ac:dyDescent="0.2">
      <c r="H102" s="912"/>
    </row>
    <row r="103" spans="8:8" x14ac:dyDescent="0.2">
      <c r="H103" s="912"/>
    </row>
    <row r="104" spans="8:8" x14ac:dyDescent="0.2">
      <c r="H104" s="912"/>
    </row>
    <row r="105" spans="8:8" x14ac:dyDescent="0.2">
      <c r="H105" s="912"/>
    </row>
    <row r="106" spans="8:8" x14ac:dyDescent="0.2">
      <c r="H106" s="912"/>
    </row>
    <row r="107" spans="8:8" x14ac:dyDescent="0.2">
      <c r="H107" s="912"/>
    </row>
    <row r="108" spans="8:8" x14ac:dyDescent="0.2">
      <c r="H108" s="912"/>
    </row>
    <row r="109" spans="8:8" x14ac:dyDescent="0.2">
      <c r="H109" s="912"/>
    </row>
    <row r="110" spans="8:8" x14ac:dyDescent="0.2">
      <c r="H110" s="912"/>
    </row>
    <row r="111" spans="8:8" x14ac:dyDescent="0.2">
      <c r="H111" s="912"/>
    </row>
    <row r="112" spans="8:8" x14ac:dyDescent="0.2">
      <c r="H112" s="912"/>
    </row>
    <row r="113" spans="8:8" x14ac:dyDescent="0.2">
      <c r="H113" s="912"/>
    </row>
    <row r="114" spans="8:8" x14ac:dyDescent="0.2">
      <c r="H114" s="912"/>
    </row>
    <row r="115" spans="8:8" x14ac:dyDescent="0.2">
      <c r="H115" s="912"/>
    </row>
    <row r="116" spans="8:8" x14ac:dyDescent="0.2">
      <c r="H116" s="912"/>
    </row>
    <row r="117" spans="8:8" x14ac:dyDescent="0.2">
      <c r="H117" s="912"/>
    </row>
    <row r="118" spans="8:8" x14ac:dyDescent="0.2">
      <c r="H118" s="912"/>
    </row>
    <row r="119" spans="8:8" x14ac:dyDescent="0.2">
      <c r="H119" s="912"/>
    </row>
    <row r="120" spans="8:8" x14ac:dyDescent="0.2">
      <c r="H120" s="912"/>
    </row>
    <row r="121" spans="8:8" x14ac:dyDescent="0.2">
      <c r="H121" s="912"/>
    </row>
    <row r="122" spans="8:8" x14ac:dyDescent="0.2">
      <c r="H122" s="912"/>
    </row>
    <row r="123" spans="8:8" x14ac:dyDescent="0.2">
      <c r="H123" s="912"/>
    </row>
    <row r="124" spans="8:8" x14ac:dyDescent="0.2">
      <c r="H124" s="912"/>
    </row>
    <row r="125" spans="8:8" x14ac:dyDescent="0.2">
      <c r="H125" s="912"/>
    </row>
    <row r="126" spans="8:8" x14ac:dyDescent="0.2">
      <c r="H126" s="912"/>
    </row>
    <row r="127" spans="8:8" x14ac:dyDescent="0.2">
      <c r="H127" s="912"/>
    </row>
    <row r="128" spans="8:8" x14ac:dyDescent="0.2">
      <c r="H128" s="912"/>
    </row>
    <row r="129" spans="8:8" x14ac:dyDescent="0.2">
      <c r="H129" s="912"/>
    </row>
    <row r="130" spans="8:8" x14ac:dyDescent="0.2">
      <c r="H130" s="912"/>
    </row>
    <row r="131" spans="8:8" x14ac:dyDescent="0.2">
      <c r="H131" s="912"/>
    </row>
    <row r="132" spans="8:8" x14ac:dyDescent="0.2">
      <c r="H132" s="912"/>
    </row>
    <row r="133" spans="8:8" x14ac:dyDescent="0.2">
      <c r="H133" s="912"/>
    </row>
    <row r="134" spans="8:8" x14ac:dyDescent="0.2">
      <c r="H134" s="912"/>
    </row>
    <row r="135" spans="8:8" x14ac:dyDescent="0.2">
      <c r="H135" s="912"/>
    </row>
    <row r="136" spans="8:8" x14ac:dyDescent="0.2">
      <c r="H136" s="912"/>
    </row>
    <row r="137" spans="8:8" x14ac:dyDescent="0.2">
      <c r="H137" s="912"/>
    </row>
    <row r="138" spans="8:8" x14ac:dyDescent="0.2">
      <c r="H138" s="912"/>
    </row>
    <row r="139" spans="8:8" x14ac:dyDescent="0.2">
      <c r="H139" s="912"/>
    </row>
    <row r="140" spans="8:8" x14ac:dyDescent="0.2">
      <c r="H140" s="912"/>
    </row>
    <row r="141" spans="8:8" x14ac:dyDescent="0.2">
      <c r="H141" s="912"/>
    </row>
    <row r="142" spans="8:8" x14ac:dyDescent="0.2">
      <c r="H142" s="912"/>
    </row>
    <row r="143" spans="8:8" x14ac:dyDescent="0.2">
      <c r="H143" s="912"/>
    </row>
    <row r="144" spans="8:8" x14ac:dyDescent="0.2">
      <c r="H144" s="912"/>
    </row>
    <row r="145" spans="8:8" x14ac:dyDescent="0.2">
      <c r="H145" s="912"/>
    </row>
    <row r="146" spans="8:8" x14ac:dyDescent="0.2">
      <c r="H146" s="912"/>
    </row>
    <row r="147" spans="8:8" x14ac:dyDescent="0.2">
      <c r="H147" s="912"/>
    </row>
    <row r="148" spans="8:8" x14ac:dyDescent="0.2">
      <c r="H148" s="912"/>
    </row>
    <row r="149" spans="8:8" x14ac:dyDescent="0.2">
      <c r="H149" s="912"/>
    </row>
    <row r="150" spans="8:8" x14ac:dyDescent="0.2">
      <c r="H150" s="912"/>
    </row>
    <row r="151" spans="8:8" x14ac:dyDescent="0.2">
      <c r="H151" s="912"/>
    </row>
    <row r="152" spans="8:8" x14ac:dyDescent="0.2">
      <c r="H152" s="912"/>
    </row>
    <row r="153" spans="8:8" x14ac:dyDescent="0.2">
      <c r="H153" s="912"/>
    </row>
    <row r="154" spans="8:8" x14ac:dyDescent="0.2">
      <c r="H154" s="912"/>
    </row>
    <row r="155" spans="8:8" x14ac:dyDescent="0.2">
      <c r="H155" s="912"/>
    </row>
    <row r="156" spans="8:8" x14ac:dyDescent="0.2">
      <c r="H156" s="912"/>
    </row>
    <row r="157" spans="8:8" x14ac:dyDescent="0.2">
      <c r="H157" s="912"/>
    </row>
    <row r="158" spans="8:8" x14ac:dyDescent="0.2">
      <c r="H158" s="912"/>
    </row>
    <row r="159" spans="8:8" x14ac:dyDescent="0.2">
      <c r="H159" s="912"/>
    </row>
    <row r="160" spans="8:8" x14ac:dyDescent="0.2">
      <c r="H160" s="912"/>
    </row>
    <row r="161" spans="8:8" x14ac:dyDescent="0.2">
      <c r="H161" s="912"/>
    </row>
    <row r="162" spans="8:8" x14ac:dyDescent="0.2">
      <c r="H162" s="912"/>
    </row>
    <row r="163" spans="8:8" x14ac:dyDescent="0.2">
      <c r="H163" s="912"/>
    </row>
    <row r="164" spans="8:8" x14ac:dyDescent="0.2">
      <c r="H164" s="912"/>
    </row>
    <row r="165" spans="8:8" x14ac:dyDescent="0.2">
      <c r="H165" s="912"/>
    </row>
    <row r="166" spans="8:8" x14ac:dyDescent="0.2">
      <c r="H166" s="912"/>
    </row>
    <row r="167" spans="8:8" x14ac:dyDescent="0.2">
      <c r="H167" s="912"/>
    </row>
    <row r="168" spans="8:8" x14ac:dyDescent="0.2">
      <c r="H168" s="912"/>
    </row>
    <row r="169" spans="8:8" x14ac:dyDescent="0.2">
      <c r="H169" s="912"/>
    </row>
    <row r="170" spans="8:8" x14ac:dyDescent="0.2">
      <c r="H170" s="912"/>
    </row>
    <row r="171" spans="8:8" x14ac:dyDescent="0.2">
      <c r="H171" s="912"/>
    </row>
  </sheetData>
  <mergeCells count="24">
    <mergeCell ref="A12:E12"/>
    <mergeCell ref="A19:E19"/>
    <mergeCell ref="A18:G18"/>
    <mergeCell ref="A17:E17"/>
    <mergeCell ref="A16:E16"/>
    <mergeCell ref="A13:E13"/>
    <mergeCell ref="A14:E14"/>
    <mergeCell ref="A15:G15"/>
    <mergeCell ref="A24:G24"/>
    <mergeCell ref="H25:H171"/>
    <mergeCell ref="A22:E22"/>
    <mergeCell ref="A2:H2"/>
    <mergeCell ref="A8:E8"/>
    <mergeCell ref="F4:H4"/>
    <mergeCell ref="F5:F6"/>
    <mergeCell ref="G5:H5"/>
    <mergeCell ref="A4:E6"/>
    <mergeCell ref="A7:G7"/>
    <mergeCell ref="A20:G20"/>
    <mergeCell ref="A23:G23"/>
    <mergeCell ref="A21:E21"/>
    <mergeCell ref="A9:E9"/>
    <mergeCell ref="A10:E10"/>
    <mergeCell ref="A11:E11"/>
  </mergeCells>
  <phoneticPr fontId="5" type="noConversion"/>
  <pageMargins left="0.59055118110236227" right="0.59055118110236227" top="0.98425196850393704" bottom="0.39370078740157483" header="0.51181102362204722" footer="0.51181102362204722"/>
  <pageSetup paperSize="9" scale="81" orientation="portrait" r:id="rId1"/>
  <headerFooter alignWithMargins="0">
    <oddHeader xml:space="preserve">&amp;C
&amp;R10 sz. melléklet
......../2025.(II.13.) Egyek.Önk.
</oddHead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28</vt:i4>
      </vt:variant>
      <vt:variant>
        <vt:lpstr>Névvel ellátott tartományok</vt:lpstr>
      </vt:variant>
      <vt:variant>
        <vt:i4>15</vt:i4>
      </vt:variant>
    </vt:vector>
  </HeadingPairs>
  <TitlesOfParts>
    <vt:vector size="43" baseType="lpstr">
      <vt:lpstr>Bevétel 2.melléklet</vt:lpstr>
      <vt:lpstr>Bevétel Önkormányzat 3. </vt:lpstr>
      <vt:lpstr>Bevétel Önk.köt.fel. 4.</vt:lpstr>
      <vt:lpstr>Bevétel önk.önként váll.5.</vt:lpstr>
      <vt:lpstr>Bevétel Polg.Hivatal 6. </vt:lpstr>
      <vt:lpstr>Bev. Polg.Hiv. köt.fel. 7.</vt:lpstr>
      <vt:lpstr>Bevétel Könyvtár-Műv.h. 8.</vt:lpstr>
      <vt:lpstr>Bev.Könyvt.Műv.h.köt.fel.9.</vt:lpstr>
      <vt:lpstr>Támogatás 10.</vt:lpstr>
      <vt:lpstr>Kiadások 11. m.</vt:lpstr>
      <vt:lpstr>önkormányzat kiadásai 12. </vt:lpstr>
      <vt:lpstr>önk.köt.fel.kiadásai 13.</vt:lpstr>
      <vt:lpstr>Önk.önként.váll.fel.kiad.14.</vt:lpstr>
      <vt:lpstr>Polg.Hivatal kiadásai 15.</vt:lpstr>
      <vt:lpstr>Polg.Hiv.köt.fel.kiad.16.mell.</vt:lpstr>
      <vt:lpstr>Könyvtár és Műv.H. kiadásai 17.</vt:lpstr>
      <vt:lpstr>Könyvt.és Műv.H.köt.fel.k.18.</vt:lpstr>
      <vt:lpstr>Működési kiadások 19.</vt:lpstr>
      <vt:lpstr>Felhalmozás 20.</vt:lpstr>
      <vt:lpstr>Többéves kih.21.m.</vt:lpstr>
      <vt:lpstr>Mérleg 22. m.</vt:lpstr>
      <vt:lpstr>Előirányzat felh. 23.</vt:lpstr>
      <vt:lpstr>Közvetett tám.-k. 24. mell. </vt:lpstr>
      <vt:lpstr>mérleg 3 éves 25.mell.</vt:lpstr>
      <vt:lpstr>Tartalék  26.</vt:lpstr>
      <vt:lpstr>Eu-s pály. 27.</vt:lpstr>
      <vt:lpstr>Adósságot keletk. 28.</vt:lpstr>
      <vt:lpstr>Saját bevétel 50% 29.</vt:lpstr>
      <vt:lpstr>'Támogatás 10.'!Nyomtatási_cím</vt:lpstr>
      <vt:lpstr>'Bev. Polg.Hiv. köt.fel. 7.'!Nyomtatási_terület</vt:lpstr>
      <vt:lpstr>Bev.Könyvt.Műv.h.köt.fel.9.!Nyomtatási_terület</vt:lpstr>
      <vt:lpstr>'Bevétel 2.melléklet'!Nyomtatási_terület</vt:lpstr>
      <vt:lpstr>'Bevétel Polg.Hivatal 6. '!Nyomtatási_terület</vt:lpstr>
      <vt:lpstr>'Kiadások 11. m.'!Nyomtatási_terület</vt:lpstr>
      <vt:lpstr>'Mérleg 22. m.'!Nyomtatási_terület</vt:lpstr>
      <vt:lpstr>'mérleg 3 éves 25.mell.'!Nyomtatási_terület</vt:lpstr>
      <vt:lpstr>'önk.köt.fel.kiadásai 13.'!Nyomtatási_terület</vt:lpstr>
      <vt:lpstr>'önkormányzat kiadásai 12. '!Nyomtatási_terület</vt:lpstr>
      <vt:lpstr>Polg.Hiv.köt.fel.kiad.16.mell.!Nyomtatási_terület</vt:lpstr>
      <vt:lpstr>'Polg.Hivatal kiadásai 15.'!Nyomtatási_terület</vt:lpstr>
      <vt:lpstr>'Támogatás 10.'!Nyomtatási_terület</vt:lpstr>
      <vt:lpstr>'Tartalék  26.'!Nyomtatási_terület</vt:lpstr>
      <vt:lpstr>'Többéves kih.21.m.'!Nyomtatási_terület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Szekeres Zsuzsanna</cp:lastModifiedBy>
  <cp:lastPrinted>2025-02-06T08:08:46Z</cp:lastPrinted>
  <dcterms:created xsi:type="dcterms:W3CDTF">1999-11-19T07:39:00Z</dcterms:created>
  <dcterms:modified xsi:type="dcterms:W3CDTF">2025-02-06T14:51:48Z</dcterms:modified>
</cp:coreProperties>
</file>